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20" windowWidth="15480" windowHeight="11280" activeTab="2"/>
  </bookViews>
  <sheets>
    <sheet name="Отчет_лист 1" sheetId="1" r:id="rId1"/>
    <sheet name="Отчет_лист 2" sheetId="3" r:id="rId2"/>
    <sheet name="Справочно" sheetId="4" r:id="rId3"/>
  </sheets>
  <definedNames>
    <definedName name="sub_10004" localSheetId="0">'Отчет_лист 1'!#REF!</definedName>
    <definedName name="sub_10006" localSheetId="0">'Отчет_лист 1'!#REF!</definedName>
    <definedName name="sub_10008" localSheetId="0">'Отчет_лист 1'!#REF!</definedName>
    <definedName name="_xlnm.Print_Titles" localSheetId="0">'Отчет_лист 1'!$8:$9</definedName>
    <definedName name="_xlnm.Print_Titles" localSheetId="1">'Отчет_лист 2'!$3:$4</definedName>
    <definedName name="_xlnm.Print_Area" localSheetId="0">'Отчет_лист 1'!$A$1:$K$114</definedName>
    <definedName name="_xlnm.Print_Area" localSheetId="1">'Отчет_лист 2'!$A$1:$J$105</definedName>
  </definedNames>
  <calcPr calcId="125725"/>
</workbook>
</file>

<file path=xl/calcChain.xml><?xml version="1.0" encoding="utf-8"?>
<calcChain xmlns="http://schemas.openxmlformats.org/spreadsheetml/2006/main">
  <c r="E12" i="1"/>
  <c r="E33"/>
  <c r="E32"/>
  <c r="H11" l="1"/>
  <c r="J92" i="3"/>
  <c r="I94" i="1"/>
  <c r="H94"/>
  <c r="I92" i="3"/>
  <c r="J87"/>
  <c r="J86"/>
  <c r="J71"/>
  <c r="J70"/>
  <c r="E69" i="1"/>
  <c r="E68"/>
  <c r="I86"/>
  <c r="I88"/>
  <c r="I19"/>
  <c r="I11" s="1"/>
  <c r="C33" i="4" l="1"/>
  <c r="B32"/>
  <c r="C32"/>
  <c r="E32" s="1"/>
  <c r="C31"/>
  <c r="D28"/>
  <c r="C28"/>
  <c r="E28" s="1"/>
  <c r="B28"/>
  <c r="C25"/>
  <c r="B25"/>
  <c r="B34" s="1"/>
  <c r="D29"/>
  <c r="C29"/>
  <c r="B29"/>
  <c r="E29" s="1"/>
  <c r="D26"/>
  <c r="C26"/>
  <c r="B26"/>
  <c r="E26" s="1"/>
  <c r="E33"/>
  <c r="E31"/>
  <c r="D34"/>
  <c r="C34"/>
  <c r="D30"/>
  <c r="C30"/>
  <c r="D35"/>
  <c r="C35"/>
  <c r="B35"/>
  <c r="D16"/>
  <c r="C16"/>
  <c r="B16"/>
  <c r="E15"/>
  <c r="E14"/>
  <c r="E13"/>
  <c r="E10"/>
  <c r="D11"/>
  <c r="D12" s="1"/>
  <c r="C11"/>
  <c r="C12" s="1"/>
  <c r="B11"/>
  <c r="B12" s="1"/>
  <c r="D8"/>
  <c r="D17" s="1"/>
  <c r="C8"/>
  <c r="C9" s="1"/>
  <c r="B8"/>
  <c r="E7"/>
  <c r="E16" s="1"/>
  <c r="G111" i="1"/>
  <c r="F111"/>
  <c r="I87" i="3"/>
  <c r="F90"/>
  <c r="G90"/>
  <c r="H90"/>
  <c r="I90"/>
  <c r="J90"/>
  <c r="E93"/>
  <c r="E92"/>
  <c r="E91"/>
  <c r="G94" i="1"/>
  <c r="F94"/>
  <c r="K94"/>
  <c r="I93"/>
  <c r="J89" i="3" s="1"/>
  <c r="H93" i="1"/>
  <c r="E88" i="3"/>
  <c r="J85"/>
  <c r="I88"/>
  <c r="I86"/>
  <c r="I85" s="1"/>
  <c r="G92" i="1"/>
  <c r="F92"/>
  <c r="G91"/>
  <c r="F91"/>
  <c r="G90"/>
  <c r="F90"/>
  <c r="G89"/>
  <c r="F89"/>
  <c r="G87"/>
  <c r="F87"/>
  <c r="K87"/>
  <c r="J87"/>
  <c r="I85"/>
  <c r="J84" i="3" s="1"/>
  <c r="H88" i="1"/>
  <c r="J88" s="1"/>
  <c r="H86"/>
  <c r="J86" s="1"/>
  <c r="E77" i="3"/>
  <c r="E78"/>
  <c r="E79"/>
  <c r="G82"/>
  <c r="H82"/>
  <c r="F81"/>
  <c r="F85" s="1"/>
  <c r="E85" s="1"/>
  <c r="G81"/>
  <c r="H81"/>
  <c r="F83"/>
  <c r="G83"/>
  <c r="H83"/>
  <c r="F82"/>
  <c r="J82"/>
  <c r="J83"/>
  <c r="I83"/>
  <c r="I82"/>
  <c r="J69"/>
  <c r="J72"/>
  <c r="I73"/>
  <c r="J73"/>
  <c r="I66" i="1"/>
  <c r="J68" i="3" s="1"/>
  <c r="F76" i="1"/>
  <c r="H75"/>
  <c r="I72" i="3" s="1"/>
  <c r="H67" i="1"/>
  <c r="H67" i="3"/>
  <c r="G67"/>
  <c r="F67"/>
  <c r="H66"/>
  <c r="G66"/>
  <c r="F66"/>
  <c r="H65"/>
  <c r="G65"/>
  <c r="G64" s="1"/>
  <c r="F65"/>
  <c r="H64"/>
  <c r="F64"/>
  <c r="H63"/>
  <c r="H101" s="1"/>
  <c r="G63"/>
  <c r="G101" s="1"/>
  <c r="F63"/>
  <c r="F101" s="1"/>
  <c r="H62"/>
  <c r="H100" s="1"/>
  <c r="G62"/>
  <c r="F62"/>
  <c r="F58" s="1"/>
  <c r="H61"/>
  <c r="H99" s="1"/>
  <c r="G61"/>
  <c r="G60" s="1"/>
  <c r="F61"/>
  <c r="F57" s="1"/>
  <c r="H60"/>
  <c r="F60"/>
  <c r="F56" s="1"/>
  <c r="H59"/>
  <c r="H58"/>
  <c r="G58"/>
  <c r="H57"/>
  <c r="H56"/>
  <c r="J62"/>
  <c r="E62" s="1"/>
  <c r="J63"/>
  <c r="J101" s="1"/>
  <c r="J65"/>
  <c r="E65" s="1"/>
  <c r="J66"/>
  <c r="J67"/>
  <c r="I53"/>
  <c r="I65" s="1"/>
  <c r="I55"/>
  <c r="I67" s="1"/>
  <c r="I54"/>
  <c r="I66" s="1"/>
  <c r="G35"/>
  <c r="H35"/>
  <c r="F35"/>
  <c r="G63" i="1"/>
  <c r="F63"/>
  <c r="G48"/>
  <c r="F48"/>
  <c r="H65"/>
  <c r="H64"/>
  <c r="H60"/>
  <c r="H45"/>
  <c r="H54"/>
  <c r="H48"/>
  <c r="H44"/>
  <c r="H36"/>
  <c r="H31"/>
  <c r="I10"/>
  <c r="J29" i="3"/>
  <c r="J31"/>
  <c r="J103" s="1"/>
  <c r="J32"/>
  <c r="J104" s="1"/>
  <c r="J33"/>
  <c r="J26" s="1"/>
  <c r="I12"/>
  <c r="I31" s="1"/>
  <c r="I103" s="1"/>
  <c r="G31"/>
  <c r="G103" s="1"/>
  <c r="H31"/>
  <c r="H103" s="1"/>
  <c r="G32"/>
  <c r="G104" s="1"/>
  <c r="H32"/>
  <c r="H25" s="1"/>
  <c r="G33"/>
  <c r="G105" s="1"/>
  <c r="H33"/>
  <c r="H26" s="1"/>
  <c r="F32"/>
  <c r="F104" s="1"/>
  <c r="F33"/>
  <c r="F105" s="1"/>
  <c r="F31"/>
  <c r="F103" s="1"/>
  <c r="G26"/>
  <c r="H27"/>
  <c r="H26" i="1"/>
  <c r="I14" i="3"/>
  <c r="I33" s="1"/>
  <c r="I26" s="1"/>
  <c r="I13"/>
  <c r="I32" s="1"/>
  <c r="I104" s="1"/>
  <c r="J11"/>
  <c r="E11" s="1"/>
  <c r="E14"/>
  <c r="E13"/>
  <c r="E12"/>
  <c r="H95" l="1"/>
  <c r="H98"/>
  <c r="F102"/>
  <c r="G102"/>
  <c r="E67"/>
  <c r="G59"/>
  <c r="H66" i="1"/>
  <c r="E12" i="4"/>
  <c r="E11"/>
  <c r="B17"/>
  <c r="E31" i="3"/>
  <c r="H24"/>
  <c r="G57"/>
  <c r="F97"/>
  <c r="K93" i="1"/>
  <c r="H104" i="3"/>
  <c r="H102" s="1"/>
  <c r="H105"/>
  <c r="H97" s="1"/>
  <c r="I89"/>
  <c r="J100"/>
  <c r="J96" s="1"/>
  <c r="J105"/>
  <c r="J102" s="1"/>
  <c r="E25" i="4"/>
  <c r="E30"/>
  <c r="E35"/>
  <c r="E34"/>
  <c r="C36"/>
  <c r="B36"/>
  <c r="D36"/>
  <c r="C27"/>
  <c r="E27"/>
  <c r="B30"/>
  <c r="B27"/>
  <c r="D27"/>
  <c r="B18"/>
  <c r="E8"/>
  <c r="D18"/>
  <c r="C17"/>
  <c r="B9"/>
  <c r="D9"/>
  <c r="C18"/>
  <c r="F59" i="3"/>
  <c r="G97"/>
  <c r="I105"/>
  <c r="I102" s="1"/>
  <c r="E90"/>
  <c r="F89"/>
  <c r="E89" s="1"/>
  <c r="K86" i="1"/>
  <c r="K88"/>
  <c r="J94"/>
  <c r="H85"/>
  <c r="J93"/>
  <c r="E66" i="3"/>
  <c r="G30"/>
  <c r="E63"/>
  <c r="G56"/>
  <c r="E33"/>
  <c r="J30"/>
  <c r="E83"/>
  <c r="E82"/>
  <c r="H80"/>
  <c r="F30"/>
  <c r="G80"/>
  <c r="I64"/>
  <c r="F80"/>
  <c r="F26"/>
  <c r="E26" s="1"/>
  <c r="J59"/>
  <c r="E59" s="1"/>
  <c r="H30"/>
  <c r="J64"/>
  <c r="E64" s="1"/>
  <c r="J58"/>
  <c r="E58" s="1"/>
  <c r="H23"/>
  <c r="J25"/>
  <c r="E30"/>
  <c r="I30"/>
  <c r="E32"/>
  <c r="J6"/>
  <c r="H6"/>
  <c r="J21" i="1"/>
  <c r="J20"/>
  <c r="H19"/>
  <c r="I11" i="3" s="1"/>
  <c r="I6"/>
  <c r="E7"/>
  <c r="E8"/>
  <c r="E15"/>
  <c r="E18"/>
  <c r="E19"/>
  <c r="E21"/>
  <c r="E22"/>
  <c r="E36"/>
  <c r="E37"/>
  <c r="E39"/>
  <c r="E40"/>
  <c r="E41"/>
  <c r="E45"/>
  <c r="E46"/>
  <c r="E47"/>
  <c r="E50"/>
  <c r="E51"/>
  <c r="E53"/>
  <c r="E54"/>
  <c r="E55"/>
  <c r="E70"/>
  <c r="E71"/>
  <c r="E73"/>
  <c r="E74"/>
  <c r="H5"/>
  <c r="E38" i="4" l="1"/>
  <c r="H96" i="3"/>
  <c r="H94" s="1"/>
  <c r="J97"/>
  <c r="E36" i="4"/>
  <c r="E17"/>
  <c r="E18" s="1"/>
  <c r="E9"/>
  <c r="K20" i="1"/>
  <c r="K19"/>
  <c r="K21"/>
  <c r="H10"/>
  <c r="J19"/>
  <c r="I62" i="3"/>
  <c r="I58" s="1"/>
  <c r="I17"/>
  <c r="J17"/>
  <c r="I63"/>
  <c r="J38"/>
  <c r="J35"/>
  <c r="I63" i="1"/>
  <c r="I59" i="3" l="1"/>
  <c r="I101"/>
  <c r="J52"/>
  <c r="I30" i="1"/>
  <c r="E103" i="3"/>
  <c r="I97"/>
  <c r="J34" l="1"/>
  <c r="I112" i="1"/>
  <c r="E76" i="3"/>
  <c r="E72"/>
  <c r="J75"/>
  <c r="E105"/>
  <c r="E104"/>
  <c r="G52"/>
  <c r="F52"/>
  <c r="J49"/>
  <c r="G49"/>
  <c r="F49"/>
  <c r="J48"/>
  <c r="E48" s="1"/>
  <c r="J44"/>
  <c r="G44"/>
  <c r="F44"/>
  <c r="J42"/>
  <c r="G38"/>
  <c r="F38"/>
  <c r="G28"/>
  <c r="G99" s="1"/>
  <c r="G29"/>
  <c r="G100" s="1"/>
  <c r="G96" s="1"/>
  <c r="I29"/>
  <c r="F29"/>
  <c r="F28"/>
  <c r="J16"/>
  <c r="J10"/>
  <c r="E10" s="1"/>
  <c r="J9"/>
  <c r="G6"/>
  <c r="G17"/>
  <c r="G20"/>
  <c r="F20"/>
  <c r="F17"/>
  <c r="F6"/>
  <c r="I69"/>
  <c r="I44"/>
  <c r="I75"/>
  <c r="I81" s="1"/>
  <c r="I80" s="1"/>
  <c r="I49"/>
  <c r="I48"/>
  <c r="I43"/>
  <c r="I42"/>
  <c r="I16"/>
  <c r="I10"/>
  <c r="I9"/>
  <c r="G95" l="1"/>
  <c r="G94" s="1"/>
  <c r="G98"/>
  <c r="I5"/>
  <c r="I25"/>
  <c r="I100"/>
  <c r="I96" s="1"/>
  <c r="E9"/>
  <c r="J5"/>
  <c r="E75"/>
  <c r="J81"/>
  <c r="E42"/>
  <c r="F27"/>
  <c r="F24"/>
  <c r="G27"/>
  <c r="G24"/>
  <c r="E29"/>
  <c r="F25"/>
  <c r="G25"/>
  <c r="I28"/>
  <c r="E16"/>
  <c r="J28"/>
  <c r="E17"/>
  <c r="E25"/>
  <c r="E35"/>
  <c r="E38"/>
  <c r="E6"/>
  <c r="E20"/>
  <c r="E44"/>
  <c r="E49"/>
  <c r="E52"/>
  <c r="I61"/>
  <c r="G5"/>
  <c r="F5"/>
  <c r="E102"/>
  <c r="J49" i="1"/>
  <c r="K49"/>
  <c r="F49"/>
  <c r="G49"/>
  <c r="E81" i="3" l="1"/>
  <c r="J80"/>
  <c r="E80" s="1"/>
  <c r="E24"/>
  <c r="I27"/>
  <c r="I99"/>
  <c r="I98" s="1"/>
  <c r="E23"/>
  <c r="I60"/>
  <c r="I56" s="1"/>
  <c r="I57"/>
  <c r="G23"/>
  <c r="F23"/>
  <c r="I24"/>
  <c r="I23" s="1"/>
  <c r="J27"/>
  <c r="E27" s="1"/>
  <c r="E28"/>
  <c r="J24"/>
  <c r="J23" s="1"/>
  <c r="E5"/>
  <c r="I35"/>
  <c r="I38"/>
  <c r="F44" i="1"/>
  <c r="G44"/>
  <c r="J44"/>
  <c r="K44"/>
  <c r="I95" i="3" l="1"/>
  <c r="I94" s="1"/>
  <c r="J65" i="1"/>
  <c r="H63"/>
  <c r="K65"/>
  <c r="I68" i="3"/>
  <c r="K48" i="1"/>
  <c r="J48"/>
  <c r="H30" l="1"/>
  <c r="I52" i="3"/>
  <c r="E69"/>
  <c r="F68"/>
  <c r="J43"/>
  <c r="J61" s="1"/>
  <c r="J99" s="1"/>
  <c r="F34"/>
  <c r="E34" s="1"/>
  <c r="F110" i="1"/>
  <c r="G110"/>
  <c r="G86"/>
  <c r="F86"/>
  <c r="K60"/>
  <c r="J60"/>
  <c r="G62"/>
  <c r="F62"/>
  <c r="G61"/>
  <c r="F61"/>
  <c r="K55"/>
  <c r="K50"/>
  <c r="J50"/>
  <c r="F54"/>
  <c r="G54"/>
  <c r="G52"/>
  <c r="F52"/>
  <c r="G51"/>
  <c r="F51"/>
  <c r="K43"/>
  <c r="J43"/>
  <c r="K41"/>
  <c r="J41"/>
  <c r="K40"/>
  <c r="J40"/>
  <c r="K39"/>
  <c r="J39"/>
  <c r="K38"/>
  <c r="J38"/>
  <c r="K37"/>
  <c r="J37"/>
  <c r="G43"/>
  <c r="F43"/>
  <c r="G41"/>
  <c r="F41"/>
  <c r="G40"/>
  <c r="F40"/>
  <c r="G39"/>
  <c r="F39"/>
  <c r="G38"/>
  <c r="F38"/>
  <c r="G37"/>
  <c r="F37"/>
  <c r="I34" i="3" l="1"/>
  <c r="H112" i="1"/>
  <c r="J98" i="3"/>
  <c r="J95"/>
  <c r="J94" s="1"/>
  <c r="J60"/>
  <c r="J56" s="1"/>
  <c r="J57"/>
  <c r="E57" s="1"/>
  <c r="E61"/>
  <c r="E43"/>
  <c r="J85" i="1"/>
  <c r="I84" i="3"/>
  <c r="K85" i="1"/>
  <c r="K54"/>
  <c r="J54"/>
  <c r="J36"/>
  <c r="K36"/>
  <c r="G28"/>
  <c r="F28"/>
  <c r="G27"/>
  <c r="F27"/>
  <c r="K26"/>
  <c r="J26"/>
  <c r="F84" i="3"/>
  <c r="E84" s="1"/>
  <c r="E60" l="1"/>
  <c r="E101"/>
  <c r="F86"/>
  <c r="F87"/>
  <c r="G109" i="1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74"/>
  <c r="F74"/>
  <c r="G73"/>
  <c r="F73"/>
  <c r="G72"/>
  <c r="F72"/>
  <c r="G71"/>
  <c r="F71"/>
  <c r="G70"/>
  <c r="F70"/>
  <c r="G69"/>
  <c r="F69"/>
  <c r="G68"/>
  <c r="F68"/>
  <c r="G34"/>
  <c r="F34"/>
  <c r="G33"/>
  <c r="F33"/>
  <c r="G32"/>
  <c r="F32"/>
  <c r="F13"/>
  <c r="G13"/>
  <c r="F14"/>
  <c r="G14"/>
  <c r="F16"/>
  <c r="G16"/>
  <c r="E87" i="3" l="1"/>
  <c r="F100"/>
  <c r="F96" s="1"/>
  <c r="E86"/>
  <c r="F99"/>
  <c r="F112" i="1"/>
  <c r="E56" i="3"/>
  <c r="E99"/>
  <c r="E100"/>
  <c r="K30" i="1"/>
  <c r="J30"/>
  <c r="K66"/>
  <c r="J66"/>
  <c r="K10"/>
  <c r="J10"/>
  <c r="K67"/>
  <c r="J67"/>
  <c r="K75"/>
  <c r="J75"/>
  <c r="K64"/>
  <c r="J64"/>
  <c r="K45"/>
  <c r="J45"/>
  <c r="F95" i="3" l="1"/>
  <c r="F94" s="1"/>
  <c r="F98"/>
  <c r="E98" s="1"/>
  <c r="E96"/>
  <c r="E94"/>
  <c r="E68"/>
  <c r="E95"/>
  <c r="E97"/>
  <c r="J112" i="1"/>
  <c r="J16"/>
  <c r="K16"/>
  <c r="G12"/>
  <c r="F12"/>
  <c r="K11" l="1"/>
  <c r="J11"/>
  <c r="K31" l="1"/>
  <c r="J31"/>
  <c r="I113"/>
  <c r="J113" l="1"/>
  <c r="E114" s="1"/>
  <c r="F114" s="1"/>
  <c r="K113"/>
  <c r="K112"/>
</calcChain>
</file>

<file path=xl/sharedStrings.xml><?xml version="1.0" encoding="utf-8"?>
<sst xmlns="http://schemas.openxmlformats.org/spreadsheetml/2006/main" count="578" uniqueCount="235">
  <si>
    <t>ОТЧЕТ</t>
  </si>
  <si>
    <t>ЗАКАЗЧИК:</t>
  </si>
  <si>
    <t>№ п/п</t>
  </si>
  <si>
    <t>Плановое значение целевого показателя (индикатора)</t>
  </si>
  <si>
    <t>Фактическое значение целевого показателя (индикатора)</t>
  </si>
  <si>
    <t>Итого:</t>
  </si>
  <si>
    <t>-</t>
  </si>
  <si>
    <t xml:space="preserve">Наименование и содержание 
мероприятия                          
                                                          </t>
  </si>
  <si>
    <t>Плановый объем расходов на программное мероприятие, тыс.руб.</t>
  </si>
  <si>
    <t>Фактический объем расходов на программное мероприятие, тыс.руб.</t>
  </si>
  <si>
    <t>Таблица 1.  ОЦЕНКА ЭФФЕКТИВНОСТИ РЕАЛИЗАЦИИ  ПРОГРАММЫ</t>
  </si>
  <si>
    <t>Абсолютное отклонение значений целевых показателей (индикаторов),
гр.5 – гр.4</t>
  </si>
  <si>
    <t>Наименование мероприятия / Наименование целевого показателя (индикатора)</t>
  </si>
  <si>
    <t>Ед.
изм.</t>
  </si>
  <si>
    <t xml:space="preserve">Ответственный исполнитель, соисполнитель </t>
  </si>
  <si>
    <t>Источник финансирования</t>
  </si>
  <si>
    <t>Таблица 2. ФАКТИЧЕСКИЙ ОБЪЕМ ФИНАНСИРОВАНИЯ РАСХОДОВ НА РЕАЛИЗАЦИЮ ПРОГРАММЫ</t>
  </si>
  <si>
    <t>Общий объем  расходов</t>
  </si>
  <si>
    <t>2015
факт</t>
  </si>
  <si>
    <t>Уровень достижения результата, %, 
гр. 5 / гр. 4</t>
  </si>
  <si>
    <t>шт.</t>
  </si>
  <si>
    <t>Фактический объем расходов на реализацию мероприятий программы по годам (тыс.руб.), в т.ч.</t>
  </si>
  <si>
    <r>
      <t>Эффективность реализации программы в целом (Э</t>
    </r>
    <r>
      <rPr>
        <b/>
        <i/>
        <vertAlign val="subscript"/>
        <sz val="16"/>
        <rFont val="Times New Roman"/>
        <family val="1"/>
        <charset val="204"/>
      </rPr>
      <t>Пр</t>
    </r>
    <r>
      <rPr>
        <b/>
        <sz val="16"/>
        <rFont val="Times New Roman"/>
        <family val="1"/>
        <charset val="204"/>
      </rPr>
      <t>), %</t>
    </r>
  </si>
  <si>
    <t>Абсолютное отклонение в объемах расходов на программное мероприятие,
 тыс.руб.
(гр.9 – гр.8)</t>
  </si>
  <si>
    <t>УПРАВЛЕНИЕ ОБРАЗОВАНИЯ АДМИНИСТРАЦИИ ГОРОДА ОРЕНБУРГА</t>
  </si>
  <si>
    <t>чел.</t>
  </si>
  <si>
    <t>тыс.чел.</t>
  </si>
  <si>
    <t>ед.</t>
  </si>
  <si>
    <t>1.</t>
  </si>
  <si>
    <t>2.</t>
  </si>
  <si>
    <t>/ численность детей, которым предоставлена возможность получения дошкольного образования</t>
  </si>
  <si>
    <t>/ количество муниципальных дошкольных образовательных организаций</t>
  </si>
  <si>
    <t>/ численность педагогических работников дошкольных образовательных организаций, прошедших повышение квалификации и (или) профессиональную переподготовку</t>
  </si>
  <si>
    <t>Уровень освоения финансовых средств на программное мероприятие,
%, гр. 9 / гр. 8</t>
  </si>
  <si>
    <t>УО, ДОО, ОБО</t>
  </si>
  <si>
    <t>Обеспечение дошкольного образования и осуществление присмотра и ухода за детьми</t>
  </si>
  <si>
    <t>Обеспечение начального общего, основного общего, среднего общего и дополнительного образования</t>
  </si>
  <si>
    <t>Проведение мероприятий по формированию в ОБО условий для инклюзивного образования детей-инвалидов, предусматривающих универсальную безбарьерную среду</t>
  </si>
  <si>
    <t>Управление в сфере образования города Оренбурга и обеспечение финансово-хозяйственной деятельности муниципальных организаций, подведомственных УО</t>
  </si>
  <si>
    <t>/ численность детей, которым предоставлена возможность получать услуги начального общего, основного общего, среднего общего и дополнительного образования</t>
  </si>
  <si>
    <t>/ количество ОО, применяющих программы, соответствующие требованиям стандартов начального общего, основного общего, среднего общего и дополнительного образования</t>
  </si>
  <si>
    <t>/ численность педагогических работников ОО начального общего, основного общего, среднего общего и дополнительного образования детей, прошедших повышение квалификации и (или) профессиональную переподготовку</t>
  </si>
  <si>
    <t>/ численность детей, которым предоставлена возможность получать в каникулярное время услуги отдыха и оздоровления, а также методической, психолого-педагогической помощи</t>
  </si>
  <si>
    <t>/ количество ОО, применяющих программы, соответствующие требованиям стандартов по организации отдыха, оздоровлению детей в каникулярное время и осуществляющих методическую, психолого-педагогическую помощь</t>
  </si>
  <si>
    <t>/ численность организаций, получающих методическую и психолого-педагогическую помощь</t>
  </si>
  <si>
    <t>/ количество детей и подростков, охваченных организованной и безопасной формой отдыха</t>
  </si>
  <si>
    <t>/ повышение качества представляемых образовательных услуг:
а) количество проведеннных методических объединений для руководителей и педагогических работников образовательных организаций</t>
  </si>
  <si>
    <t>/ количество организованных  курсов повышения квалификации для педагогических работников</t>
  </si>
  <si>
    <t>/ б) количество оказанных консультативно-диагностических, коррекционно-развивающих услуг по запросу образовательных организаций</t>
  </si>
  <si>
    <t>Результаты:</t>
  </si>
  <si>
    <t>%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</si>
  <si>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</si>
  <si>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</si>
  <si>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</si>
  <si>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</si>
  <si>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</si>
  <si>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</si>
  <si>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</si>
  <si>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</si>
  <si>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</si>
  <si>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</si>
  <si>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</si>
  <si>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</si>
  <si>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Удельный вес численности организаций, получивших методическую и психолого-педагогическую помощь в общей численности ОО</t>
  </si>
  <si>
    <t>Удельный вес ДОО, применяющих программы, соответствующие требованиям стандартов дошкольного образования в общем объеме ДОО</t>
  </si>
  <si>
    <t>Удельный вес численности педагогических работников ДОО, прошедших повышение квалификации и (или) профессиональную переподготовку в общей численности педагогических работников</t>
  </si>
  <si>
    <t>Удельный вес численности учителей в возрасте до 30 лет в общей численности учителей ОБО</t>
  </si>
  <si>
    <t>Отношение среднемесячной заработной платы педагогических работников ОБО к среднемесячной заработной плате в Оренбургской области</t>
  </si>
  <si>
    <t>Удельный вес ОБО, в которых оценка деятельности их руководителей и основных категорий работников осуществляется на основании показателей эффективности деятельности муниципальных общеобразовательных организаций, в общей численности ОБО</t>
  </si>
  <si>
    <t>Удельный вес численности обучающихся в ОБО, получающих горячее питание, к общей численности обучающихся</t>
  </si>
  <si>
    <t>Удельный вес численности учащихся по программам общего образования, участвующих в олимпиадах и конкурсах различного уровня, в общей численности учащихся по программам общего образования</t>
  </si>
  <si>
    <t>Доля детей, охваченных образовательными программами дополнительного образования детей, в общей численности детей и молодежи в возрасте 5-18 лет</t>
  </si>
  <si>
    <t>Отношение среднемесячной заработной платы педагогических работников ОДОД к среднемесячной заработной плате учителей в Оренбургской области</t>
  </si>
  <si>
    <t>Удельный вес численности педагогических работников ОДОД в возрасте до 35 лет в общей численности педагогических работников ОДОД</t>
  </si>
  <si>
    <t>Мониторинг состояния и развития системы образования города Оренбурга</t>
  </si>
  <si>
    <t>Удельный вес своевременно выявленной численности детей с ограниченными возможностями здоровья и (или) девиантным (общественноопасным) поведением в общей численности детей с ограниченными возможностями здоровья и (или) девиантным (общественноопасным) поведением</t>
  </si>
  <si>
    <t>бюджет города</t>
  </si>
  <si>
    <t>областной бюджет</t>
  </si>
  <si>
    <t>всего:</t>
  </si>
  <si>
    <t>Всего по разделу 1:</t>
  </si>
  <si>
    <t>Всего по разделу 2:</t>
  </si>
  <si>
    <t>Обеспечение отдыха, оздоровление детей в каникулярное время и оказание методической, психолого-педагогической помощи</t>
  </si>
  <si>
    <t>федеральный бюджет</t>
  </si>
  <si>
    <t>Всего по разделу 3:</t>
  </si>
  <si>
    <t>Всего по программе:</t>
  </si>
  <si>
    <t>Мероприятие 1. Предоставление дошкольного образования и осуществление присмотра и ухода за детьми</t>
  </si>
  <si>
    <t>Повышение доступности дошкольных услуг</t>
  </si>
  <si>
    <t>/ количество ДОО, оснащенных оборудованием АПС, СОУЭ</t>
  </si>
  <si>
    <t>/ количество ДОО, оснащенных оборудованием ОДС</t>
  </si>
  <si>
    <t>/ количество ДОО, в которых улучшено техническое состояние зданий и (или) их территорий в рамках наказов избирателей депутатов Оренбургского городского Совета и социально значимых мероприятий</t>
  </si>
  <si>
    <t>/ количество ДОО, которыми приобретены основные средства, оборудование, материалы, производственный и хозяйственный инвентарь в рамках наказов избирателей депутатов Оренбургского городского Совета и социально значимых мероприятий</t>
  </si>
  <si>
    <t>Мероприятие 2. Предоставление начального общего, основного общего, среднего общего и дополнительного образования детям</t>
  </si>
  <si>
    <t>из них:</t>
  </si>
  <si>
    <t>предоставление муниципального гранта «Лучшая школа города Оренбурга» / количество ОБО, прошедших конкурсный отбор и признанных победителями по его результатам, получивших муниципальный грант «Лучшая школа города Оренбурга»</t>
  </si>
  <si>
    <t>предоставление именных премий Заслуженных учителей РФ, ветеранов педагогического труда В.М. Барбазюка и А.И. Морозова / количество награжденных именными премиями Заслуженных учителей РФ, ветеранов педагогического труда В.М. Барбазюка и А.И. Морозова</t>
  </si>
  <si>
    <t>предоставление муниципального гранта «Лучший учитель (педагог) города Оренбурга» / количество учителей, которым присвоен муниципальный грант «Лучший учитель (педагог) города Оренбурга»</t>
  </si>
  <si>
    <t>приобретение диагностических тестов для проведения добровольного экспресс-тестирования школьников на предмет выявления лиц, допускающих немедицинское потребление наркотиков / количество приобретенных диагностических тестов для проведения добровольного экспресс-тестирования школьников на предмет выявления лиц, допускающих немедицинское потребление наркотиков</t>
  </si>
  <si>
    <t>проведение экологической акции (приобретение саженцев деревьев и кустарников для посадки на территории ОБО) / количество ОО, участвующих в экологической акции</t>
  </si>
  <si>
    <t>из них на мероприятия:</t>
  </si>
  <si>
    <t>проведение капитального и (или) текущего ремонта, работ по реконструкции, монтажных работ, строительных, восстановительных работ спортивных залов, спортивных площадок / количество ОБО, расположенных в сельской местности, в которых отремонтированы спортивные залы</t>
  </si>
  <si>
    <t>/ количество зданий ОБО и ОДОД, оснащенных оборудованием АПС, СОУЭ</t>
  </si>
  <si>
    <t>/ количество ОБО и ОДОД, оснащенных оборудованием ОДС и/или проведены расчеты оценки пожарных рисков</t>
  </si>
  <si>
    <t>/ общее количество команд, принимающих участие в соревнованиях ШБЛ</t>
  </si>
  <si>
    <t>/ общая аудитория всех турниров ШБЛ</t>
  </si>
  <si>
    <t>/ количество команд ОБО, ежегодно награждаемых по итогам соревнований ШБЛ</t>
  </si>
  <si>
    <t>/ количество задействованных спортивных залов во время проведения соревнований ШБЛ</t>
  </si>
  <si>
    <t>/ количество ОБО и ОДОД, в которых улучшено техническое состояние зданий и (или) их территорий в рамках наказов избирателей депутатов Оренбургского городского Совета и социально значимых мероприятий</t>
  </si>
  <si>
    <t>Мероприятие 3. Организация отдыха и сопровождение деятельности образовательных организаций, оздоровление детей в каникулярное время, оказание методической, психолого-педагогической помощи</t>
  </si>
  <si>
    <t>Мероприятие 4. Обеспечение деятельности управления образования по исполнению функций органов местного самоуправления по решению вопросов местного значения</t>
  </si>
  <si>
    <t>15.</t>
  </si>
  <si>
    <t>Результат 15. Снижение доли обучающихся в ОБО, занимающихся во вторую смену, к общей численности обучающихся в ОБО</t>
  </si>
  <si>
    <t xml:space="preserve">Обеспечение пожарной безопасности в ДОО </t>
  </si>
  <si>
    <t>Улучшение технического состояния зданий ДОО и (или) их территорий</t>
  </si>
  <si>
    <t>УО, ДОО</t>
  </si>
  <si>
    <t xml:space="preserve">Обеспечение антитеррористической защищенности в ДОО </t>
  </si>
  <si>
    <t xml:space="preserve">Мероприятия, выполняемые ДОО в рамках наказов избирателей депутатов Оренбургского городского Совета </t>
  </si>
  <si>
    <t>Формирование универсальной безбарьерной среды для инклюзивного образования детей-инвалидов в ДОО</t>
  </si>
  <si>
    <t>Улучшение технического состояния зданий ОБО и ОДОД и (или) их территорий</t>
  </si>
  <si>
    <t>Обеспечение пожарной безопасности в ОБО и ОДОД</t>
  </si>
  <si>
    <t>УО, ОБО</t>
  </si>
  <si>
    <t>УО, ОБО, ОДОД</t>
  </si>
  <si>
    <t>Обеспечение антитеррористической защищенности в ОБО, ОДОД</t>
  </si>
  <si>
    <t xml:space="preserve">Мероприятия, направленные на популяризацию баскетбола среди учащихся школ </t>
  </si>
  <si>
    <t>Мероприятия, выполняемые ОБО, ОДОД в рамках наказов избирателей депутатов ОГС и социально значимых мероприятий</t>
  </si>
  <si>
    <t>КУИ</t>
  </si>
  <si>
    <t>16.</t>
  </si>
  <si>
    <t>17.</t>
  </si>
  <si>
    <t>Улучшение технического состояния зданий муниципальных загородных детских оздоровительных лагерей и (или) их территорий</t>
  </si>
  <si>
    <t>18.</t>
  </si>
  <si>
    <t>Обеспечение пожарной безопасности в муниципальных загородных детских оздоровительных лагерях</t>
  </si>
  <si>
    <t>УО, ОДОД, ПО</t>
  </si>
  <si>
    <t>19.</t>
  </si>
  <si>
    <t>Обеспечение антитеррористической защищенности в муниципальных загородных ДОЛ</t>
  </si>
  <si>
    <t>20.</t>
  </si>
  <si>
    <t>21.</t>
  </si>
  <si>
    <t>Обеспечение деятельности управления образования по исполнению функций органов местного самоуправления по решению вопросов местного значения</t>
  </si>
  <si>
    <t>Мероприятие 4. Обеспечение реализации функций органов местного самоуправления в сфере образования</t>
  </si>
  <si>
    <t>МКУ "УОФХДОУ"</t>
  </si>
  <si>
    <t>УО</t>
  </si>
  <si>
    <t>УО, ДОО, ПО, МКУ</t>
  </si>
  <si>
    <t>2016
факт</t>
  </si>
  <si>
    <t>мест</t>
  </si>
  <si>
    <t>2017
факт</t>
  </si>
  <si>
    <t>повышение заработной платы педагогических работников учреждений дополнительного образования г.Оренбурга</t>
  </si>
  <si>
    <t xml:space="preserve">Мероприятия, выполняемые в загородных лагерях в рамках наказов избирателей депутатам ОГС (согласно ежегодному решению ОГС) </t>
  </si>
  <si>
    <t>ежегодная премия руководителям ОО / количество руководителей ОО, получивших премию администрации города Оренбурга/ количество руководителей ОО, получивших премию администрации г.Оренбурга</t>
  </si>
  <si>
    <t>22.</t>
  </si>
  <si>
    <t>/количество руководителей ОО, получивших премию администрации города Оренбург</t>
  </si>
  <si>
    <t>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единого государственного экзамена (в расчете на 1 предмет) в 10 % школ с худшими результатами ЕГЭ</t>
  </si>
  <si>
    <t>2018
план</t>
  </si>
  <si>
    <t>2018
факт</t>
  </si>
  <si>
    <t>1.3.2. Перепрофилирование помещений в действующих ОО для открытия дополнительных групп (проектные, экспертные, ремонтные работы), работы по реконструкции, благоустройство территории, приобретение ОС, МЗ, производственного и хозяйственного инвентаря, пр. / Количество дополнительно созданных дошкольных мест</t>
  </si>
  <si>
    <t>1.1. Обеспечение дошкольного образования и осуществление присмотра и ухода за детьми /</t>
  </si>
  <si>
    <t>1.2. Улучшение технического состояния зданий ДОО и (или) их территорий (проектные, экспертные, ремонтные, в т.ч. капитальные, монтажные, строительные работы, работы по реконструкции, противоаварийные мероприятия, благоустройство территории, проведение детально-инструментального обследования, инженерно-геологических изысканий, приобретение материалов и прочие расходы, направленные на улучшение технического состояния зданий ДОО и (или) их территорий) / Количество ДОО, в которых улучшено техническое состояние зданий и (или) их территорий</t>
  </si>
  <si>
    <t>1.3. Повышение доступности дошкольных услуг</t>
  </si>
  <si>
    <t>1.4.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</si>
  <si>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1.5. Обеспечение пожарной безопасности в ДОО (оснащение современными комплексами инженерно-технических систем обеспечения безопасности (проектирование, приобретение, монтаж оборудования, модернизация и ремонт, ранее установленного АПС, ОДС, СОУЭ); обеспечение безаварийной работы систем электроснабжения (проектирование, реконструкция, капитальный ремонт, ремонтные, монтажные работы и иные мероприятия); содержание в исправном состоянии эвакуационных путей и выходов в соответствии с требованиями безопасной эвакуации людей при пожаре (приведение путей эвакуации и эвакуационных выходов в соответствии с требованиями пожарной безопасности)) / </t>
  </si>
  <si>
    <t>приобретение нежилого отдельно стоящего здания, введенного в эксплуатацию, оснащенного оборудованием и средствами обучения и воспитания, расположенного в 16 микрорайоне СВЖР города Оренбурга, для размещения муниципального дошкольного образовательного учреждения для детей в возрасте до трех лет</t>
  </si>
  <si>
    <t>приобретение нежилого отдельно стоящего здания, введенного в эксплуатацию, оснащенного оборудованием и средствами обучения и воспитания, расположенного в 18 микрорайоне СВЖР города Оренбурга, для размещения муниципального дошкольного образовательного учреждения для детей в возрасте до трех лет</t>
  </si>
  <si>
    <t>Лимит бюджетных обязательств (ЛБО), утв. ГРБС на 31.12.2018</t>
  </si>
  <si>
    <t>Создание дополнительных мест для детей в возрасте от 2 месяцев до 3 лет</t>
  </si>
  <si>
    <t>Значения целевых показателей (индикаторов) запланированы
на 2019 год</t>
  </si>
  <si>
    <t>1.6. Обеспечение антитеррористической защищенности в ДОО (проектирование, установка и монтаж видеонаблюдения, видеодомофонов, включая приобретение необходимого оборудования, материальных запасов; устройство, реконструкция, ремонт и иные мероприятия, направленные на восстановление целостности ограждения) / количество ДОО, оснащенных системами видеонаблюдения, видеодомофонами</t>
  </si>
  <si>
    <t>1.7. Мероприятия, выполняемые ДОО в рамках наказов избирателей депутатам Оренбургского городского Совета и социально значимых мероприятий (проектные экспертные, ремонтные, монтажные работы, благоустройство территории, приобретение основных средств, оборудования, материалов, производственного и хозяйственного инвентаря), в том числе оплата кредиторской задолженности</t>
  </si>
  <si>
    <t>1.8. Формирование универсальной безбарьерной среды для инклюзивного образования детей-инвалидов в ДОО (устройство пандуса, в т.ч. ремонтные работы, ремонтные работы санузлов, устройство беспороговых входных групп и других помещений, увеличение дверных проемов, установка кнопки вызова помощи и другие мероприятия) / количество ДОО, в которых выполнены мероприятия по формированию универсальнойбезбарьерной среды</t>
  </si>
  <si>
    <t>по организации питания обучающихся в муниципальных общественных организациях и предоставление компенсационных выплат на горячее питание детей лиц, которые награждены муниципальной наградой медалью "Материнство", Муниципальным знаком "Медаль "Материнство"</t>
  </si>
  <si>
    <t>???</t>
  </si>
  <si>
    <t>Приобретение нежилого отдельно стоящего здания, введенного в эксплуатацию, оснащенного оборудованием и средствами обучения и воспитания, расположенного в 19 микрорайоне в городе Оренбурге для размещения ОБО, в том числе оплата кредиторской задолженности</t>
  </si>
  <si>
    <t>Приобретение нежилого отдельно стоящего здания, введенного в эксплуатацию, оснащенного оборудованием и средствами обучения и воспитания, расположенного в 20 микрорайоне в городе Оренбурге для размещения ОБО</t>
  </si>
  <si>
    <t>выплата муниципальных стипендий талантливым и одаренным учащимся образовательных организаций города Оренбурга / количество учащихся общеобразовательных организаций, которым назначена стипендия для талантливых и одаренных детей</t>
  </si>
  <si>
    <t>проведение капитального и (или) текущего ремонта, работ по реконструкции, строительных, восстановительных работ, противоаварийных мероприятий в ОБО, ОДОД и иных мероприятий, направленных на восстановление целостности конструкций зданий и на развитие инфраструктуры / количество ОБО и ОДОД, в которых улучшено техническое состояние зданий и (или) их территорий</t>
  </si>
  <si>
    <t>2.1. Обеспечение начального общего, основного общего, среднего общего и дополнительного образования /</t>
  </si>
  <si>
    <t>2.3. Обеспечение пожарной безопасности в ОБО и ОДОД (оснащение современными комплексами инженерно-технических систем обеспечения безопасности (проектирование, приобретение, монтаж оборудования, модернизация и ремонт, ранее установленного АПС, ОДС, СОУЭ); обеспечение безаварийной работы систем электроснабжения (проектирование, реконструкция, капитальный ремонт, ремонтные, монтажные работы и иные мероприятия); содержание в исправном состоянии эвакуационных путей и выходов в соответствии с требованиями безопасной эвакуации людей при пожаре (приведение путей эвакуации и эвакуационных выходов в соответствии с требованиями пожарной безопасности), проведение расчетов оценки пожарных рисков))</t>
  </si>
  <si>
    <r>
      <t xml:space="preserve">2.4. Обеспечение антитеррористической защищенности в ОБО и ОДОД </t>
    </r>
    <r>
      <rPr>
        <sz val="12"/>
        <rFont val="Times New Roman"/>
        <family val="1"/>
        <charset val="204"/>
      </rPr>
      <t>(проектирование, установка и монтаж видеонаблюдения, включая приобретение необходимого оборудования, материальных запасов; устройство, реконструкция, ремонт и иные мероприятия, направленные на восстановление целостности ограждения) и видеодомофонов</t>
    </r>
    <r>
      <rPr>
        <sz val="14"/>
        <rFont val="Times New Roman"/>
        <family val="1"/>
        <charset val="204"/>
      </rPr>
      <t xml:space="preserve"> / количество ОБО и ОДОД, оснащенных системами видеонаблюдения</t>
    </r>
  </si>
  <si>
    <t>2.5. Проведение мероприятий по формированию в ОБО условий для инклюзивного образования детей-инвалидов, предусматривающих универсальную безбарьерную среду / Количество ОБО, в которых сформирована универсальная безбарьерная среда, позволяющая обеспечить совместное обучение детей-инвалидов и лиц, не имеющих нарушений развития</t>
  </si>
  <si>
    <r>
      <t xml:space="preserve">2.6. Мероприятия, направленные на популяризацию баскетбола среди учащихся школ </t>
    </r>
    <r>
      <rPr>
        <sz val="12"/>
        <rFont val="Times New Roman"/>
        <family val="1"/>
        <charset val="204"/>
      </rPr>
      <t>(организация и проведение соревнований ШБЛ, вручение призов победителям соревнований,  содержание ставок тренеров-преподавателей, приобретение спортивного инвентаря, основных средств и материалов, разработка проектной документации, проведение ремонта (включая капитальный), реконструкции спортивных залов и площадок школ (в том числе устройство и благоустройство новых))</t>
    </r>
    <r>
      <rPr>
        <sz val="14"/>
        <rFont val="Times New Roman"/>
        <family val="1"/>
        <charset val="204"/>
      </rPr>
      <t xml:space="preserve"> / </t>
    </r>
  </si>
  <si>
    <r>
      <t xml:space="preserve">2.7. Мероприятия, выполняемые ОБО, ОДОД в рамках наказов избирателей депутатов Оренбургского городского Совета </t>
    </r>
    <r>
      <rPr>
        <sz val="12"/>
        <rFont val="Times New Roman"/>
        <family val="1"/>
        <charset val="204"/>
      </rPr>
      <t>(проектные экспертные, ремонтные, монтажные работы, благоустройство территории, приобретение основных средств, оборудования, материалов, производственного и хозяйственного инвентаря)</t>
    </r>
    <r>
      <rPr>
        <sz val="14"/>
        <rFont val="Times New Roman"/>
        <family val="1"/>
        <charset val="204"/>
      </rPr>
      <t xml:space="preserve"> / </t>
    </r>
  </si>
  <si>
    <t>/ количество ОБО и ОДОД, которыми приобретены основные средства, оборудование, материалы, производственный и хозяйственный инвентарь в рамках наказов избирателей депутатов ОГС и социально значимых мероприятий</t>
  </si>
  <si>
    <t>Создание новых мест с целью ликвидации II смены в ОБО</t>
  </si>
  <si>
    <t>всего по исполнителю:</t>
  </si>
  <si>
    <t>2.8. Создание новых мест с целью ликвидации II смены в ОБО:</t>
  </si>
  <si>
    <t>3.1. Обеспечение отдыха, оздоровление детей в каникулярное время и оказание методической, психолого-педагогической помощи/</t>
  </si>
  <si>
    <t>3.3. Обеспечение пожарной безопасности в муниципальных загородных детских оздоровительных лагерях (оснащение современными комплексами инженерно-технических систем обеспечения безопасности (приобретение, монтаж оборудования, модернизация и ремонт, ранее установленного АПС, ОДС, СОУЭ); обеспечение безаварийной работы систем электроснабжения (проектирование, реконструкция, капитальный ремонт, ремонтные, монтажные работы и иные мероприятия); содержание в исправном состоянии эвакуационных путей и выходов в соответствии с требованиями безопасной эвакуации людей при пожаре (приведение путей эвакуации и эвакуационных выходов в соответствии с требованиями пожарной безопасности)) / количество лагерей, оснащенных оборудованием ОДС</t>
  </si>
  <si>
    <t>3.4. Обеспечение антитеррористической защищенности в муниципальных загородных детских оздоровительных лагерях (проектирование, установка и монтаж видеонаблюдения, включая приобретение необходимого оборудования, материальных запасов) / Количество лагерей, оснащенных системами видеонаблюдения</t>
  </si>
  <si>
    <t xml:space="preserve">3.5. Мероприятия, выполняемые в загородных лагерях в рамках наказов избирателей депутатам ОГС (согласно ежегодному решению ОГС) </t>
  </si>
  <si>
    <t>3.2. Улучшение технического состояния зданий муниципальных загородных детских оздоровительных лагерей и (или) их территорий (кредиторская задолженность)</t>
  </si>
  <si>
    <t>3.6. Управление в сфере образования города Оренбурга и обеспечение финансово-хозяйственной деятельности муниципальных организаций, подведомственных УО / Количество муниципальных организаций города Оренбурга, в отношении которых МКУ «УОФХДОУ» осуществляет финансовое сопровождение деятельности</t>
  </si>
  <si>
    <t>3.7. Обеспечение выплат на содержание ребенка в семье опекуна/Количество детей, находящихся под опекой</t>
  </si>
  <si>
    <t>3.8. Обеспечение выплат на содержание ребенка в приемной семье и вознаграждения причитающегося приемному родителю/Количество детей, находящихся в приемной семье</t>
  </si>
  <si>
    <t>3.9. Обеспечение выплат единовременного пособия при всех формах устройства детей, лишенных родительских прав, в семье/количество детей впервые устроенные в приемную семью или оформленные под опеку</t>
  </si>
  <si>
    <t>3.10.Обеспечение выплатой на возмещение расходов, связанных с предоставлением компенсации расходов на оплату жилых помещений, отопление и освещение педагогическим работникам, работающим и проживающим в сельской местности/количество педагогических работников, пользующихся льготами по оплате за жилые помещения, отопление и освещение</t>
  </si>
  <si>
    <t>3.11.Обеспечение выплат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образования/количество детей, посещающих образовательные организации, реализующих общеобразовательную программу дошкольного образования и имеющие право на компенсацию части родительской платы</t>
  </si>
  <si>
    <t>2.2. Улучшение технического состояния зданий ОБО и ОДОД и (или) их территорий (проектные, экспертные, ремонтные, в т.ч. капитальные, монтажные, строительные работы, работы по реконструкции, противоаварийные мероприятия, благоустройство территории, проведение детально-инструментального обследования, инженерно-геологических изысканий, георадиолокационных обследований приобретение материалов и прочие расходы, направленные на улучшение технического состояния зданий ОБО и ОДОД и (или) их территорий):</t>
  </si>
  <si>
    <t>4.1. Исполнение функций управления образования администрации города Оренбурга / количество финансируемых организаций, обеспечивающих реализацию функций местного самоуправления в сфере «Образования»</t>
  </si>
  <si>
    <t>4.2. Организация и проведение управлением образования администрации города Оренбурга официальных и праздничных мероприятий / количество мероприятий</t>
  </si>
  <si>
    <t xml:space="preserve">4.3. Обеспечение реализации отдельных переданных государственных полномочий / </t>
  </si>
  <si>
    <t xml:space="preserve">обеспечение выплат на содержание ребенка в семье опекуна
/количество детей, находящихся под опекой
</t>
  </si>
  <si>
    <t xml:space="preserve">обеспечение выплат единовременного пособия при всех формах устройства детей, лишенных родительских прав, в семье
/количество детей, впервые устроенных в приемную семью или оформленных под опеку
</t>
  </si>
  <si>
    <t>обеспечение выплат на содержание ребенка в приемной семье и вознаграждения, причитающегося приемному родителю
/количество детей, находящихся в приемной семье</t>
  </si>
  <si>
    <t xml:space="preserve">обеспечение выплат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 /количество детей, посещающих образовательные организации, реализующих общеобразовательную программу дошкольного образования и имеющие право на компенсацию части родительской платы </t>
  </si>
  <si>
    <t>Мероприятие 5. Обеспечение финансово-хозяйственной деятельности муниципальных организаций, подведомственных управлению образования администрации города Оренбурга</t>
  </si>
  <si>
    <t>Мероприятие 5. Обеспечение финансово-хозяйственной деятельности муниципальных организаций, подведомственных управлению образования</t>
  </si>
  <si>
    <t>Результат 16. Доля обеспеченности населения услугами дошкольного образования (в возрасте от 2 месяцев до трех лет)</t>
  </si>
  <si>
    <t>5.1. Мероприятия, выполняемые МКУ "Управление по обеспечению финансово-хозяйственной деятельности образовательных учреждений", по сопровождению деятельности образовательных организаций /количество организаций, в отношении которых МКУ "УФХДОУ" осуществляет финансовое сопровождение деятельности</t>
  </si>
  <si>
    <t>о ходе реализации в 2018 году муниципальной программы «Доступное образование в городе Оренбурге» на 2015-2021 годы</t>
  </si>
  <si>
    <t>Справочная сводная информация</t>
  </si>
  <si>
    <t>меропр 2(УО)</t>
  </si>
  <si>
    <t>меропр 2(КУИ)</t>
  </si>
  <si>
    <t>всего мероприятие 2</t>
  </si>
  <si>
    <t>мероприятие 3</t>
  </si>
  <si>
    <t>мероприятие 4</t>
  </si>
  <si>
    <t>местный бюдж</t>
  </si>
  <si>
    <t>обл</t>
  </si>
  <si>
    <t>федер</t>
  </si>
  <si>
    <t>итого</t>
  </si>
  <si>
    <t>исп. Н.Н.Таналина</t>
  </si>
  <si>
    <t>98 76 38</t>
  </si>
  <si>
    <t xml:space="preserve">по исполнению  в 2 0 1 8 году </t>
  </si>
  <si>
    <t xml:space="preserve"> муниципальной программы  "Доступное образование в городе Оренбурге" на 2015-2021годы"</t>
  </si>
  <si>
    <t>(ПАГ от 21.11.2014г № 2806-п)</t>
  </si>
  <si>
    <t>мероприятие 1 (УО)</t>
  </si>
  <si>
    <t>мероприятие 1 (КУИ)</t>
  </si>
  <si>
    <t>всего мероприятие 1</t>
  </si>
  <si>
    <t>мероприятие 5</t>
  </si>
  <si>
    <t>всего по УО</t>
  </si>
  <si>
    <t>всего по КУИ</t>
  </si>
  <si>
    <t>итого по программе</t>
  </si>
  <si>
    <t>(по источникам финансирования)</t>
  </si>
  <si>
    <t>18.02.2019г</t>
  </si>
  <si>
    <t>Исполнение по программе "Доступное образование в г.Оренбурге" за 2018 год</t>
  </si>
  <si>
    <t>Утверждено</t>
  </si>
  <si>
    <t>ЛБО</t>
  </si>
  <si>
    <t>Исполнено</t>
  </si>
  <si>
    <t>Ост ассигн</t>
  </si>
  <si>
    <t>Значение целевых показателей не запланированы, т.к. работы выполнены в 2016 г.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</si>
</sst>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vertAlign val="subscript"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>
      <alignment vertical="top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65" fontId="6" fillId="2" borderId="1" xfId="1" applyNumberFormat="1" applyFont="1" applyFill="1" applyBorder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4" fillId="2" borderId="1" xfId="1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 applyProtection="1">
      <alignment horizontal="center" vertical="top" wrapText="1"/>
      <protection hidden="1"/>
    </xf>
    <xf numFmtId="0" fontId="6" fillId="2" borderId="0" xfId="0" applyFont="1" applyFill="1" applyAlignment="1">
      <alignment vertical="top"/>
    </xf>
    <xf numFmtId="164" fontId="4" fillId="2" borderId="1" xfId="1" applyNumberFormat="1" applyFont="1" applyFill="1" applyBorder="1" applyAlignment="1" applyProtection="1">
      <alignment horizontal="center" vertical="top" wrapText="1"/>
      <protection hidden="1"/>
    </xf>
    <xf numFmtId="0" fontId="6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164" fontId="4" fillId="2" borderId="1" xfId="1" applyNumberFormat="1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 indent="2"/>
    </xf>
    <xf numFmtId="0" fontId="7" fillId="2" borderId="1" xfId="0" applyFont="1" applyFill="1" applyBorder="1" applyAlignment="1">
      <alignment horizontal="left" vertical="top" wrapText="1" indent="2"/>
    </xf>
    <xf numFmtId="0" fontId="7" fillId="2" borderId="1" xfId="0" applyFont="1" applyFill="1" applyBorder="1" applyAlignment="1">
      <alignment horizontal="left" vertical="top" wrapText="1" indent="3"/>
    </xf>
    <xf numFmtId="165" fontId="2" fillId="2" borderId="1" xfId="0" applyNumberFormat="1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2" borderId="1" xfId="1" applyNumberFormat="1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 indent="1"/>
    </xf>
    <xf numFmtId="165" fontId="6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 indent="4"/>
    </xf>
    <xf numFmtId="3" fontId="4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8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right" vertical="top"/>
    </xf>
    <xf numFmtId="165" fontId="3" fillId="2" borderId="1" xfId="0" applyNumberFormat="1" applyFont="1" applyFill="1" applyBorder="1" applyAlignment="1">
      <alignment horizontal="right" vertical="top"/>
    </xf>
    <xf numFmtId="164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4" fontId="6" fillId="2" borderId="1" xfId="1" applyNumberFormat="1" applyFont="1" applyFill="1" applyBorder="1" applyAlignment="1" applyProtection="1">
      <alignment horizontal="center" vertical="top" wrapText="1"/>
      <protection hidden="1"/>
    </xf>
    <xf numFmtId="165" fontId="6" fillId="2" borderId="1" xfId="1" applyNumberFormat="1" applyFont="1" applyFill="1" applyBorder="1" applyAlignment="1">
      <alignment horizontal="right" vertical="top" wrapText="1"/>
    </xf>
    <xf numFmtId="165" fontId="6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top"/>
    </xf>
    <xf numFmtId="166" fontId="6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 indent="3"/>
    </xf>
    <xf numFmtId="0" fontId="2" fillId="2" borderId="7" xfId="0" applyFont="1" applyFill="1" applyBorder="1" applyAlignment="1">
      <alignment horizontal="left" vertical="top"/>
    </xf>
    <xf numFmtId="165" fontId="2" fillId="2" borderId="0" xfId="0" applyNumberFormat="1" applyFont="1" applyFill="1" applyBorder="1"/>
    <xf numFmtId="3" fontId="9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/>
    </xf>
    <xf numFmtId="166" fontId="2" fillId="2" borderId="1" xfId="0" applyNumberFormat="1" applyFont="1" applyFill="1" applyBorder="1"/>
    <xf numFmtId="165" fontId="6" fillId="2" borderId="5" xfId="0" applyNumberFormat="1" applyFont="1" applyFill="1" applyBorder="1" applyAlignment="1">
      <alignment horizontal="right" vertical="top" wrapText="1"/>
    </xf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/>
    <xf numFmtId="4" fontId="10" fillId="0" borderId="1" xfId="0" applyNumberFormat="1" applyFont="1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10" fillId="0" borderId="0" xfId="0" applyFont="1" applyBorder="1"/>
    <xf numFmtId="4" fontId="10" fillId="0" borderId="0" xfId="0" applyNumberFormat="1" applyFont="1" applyBorder="1"/>
    <xf numFmtId="4" fontId="0" fillId="0" borderId="1" xfId="0" applyNumberForma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4" fontId="6" fillId="2" borderId="1" xfId="1" applyNumberFormat="1" applyFont="1" applyFill="1" applyBorder="1" applyAlignment="1" applyProtection="1">
      <alignment horizontal="center" vertical="top" wrapText="1"/>
      <protection hidden="1"/>
    </xf>
    <xf numFmtId="165" fontId="6" fillId="2" borderId="1" xfId="1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right" vertical="top" wrapText="1"/>
    </xf>
    <xf numFmtId="165" fontId="6" fillId="2" borderId="4" xfId="0" applyNumberFormat="1" applyFont="1" applyFill="1" applyBorder="1" applyAlignment="1">
      <alignment horizontal="right" vertical="top" wrapText="1"/>
    </xf>
    <xf numFmtId="165" fontId="6" fillId="2" borderId="5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vertical="top" wrapText="1"/>
    </xf>
    <xf numFmtId="165" fontId="6" fillId="2" borderId="3" xfId="1" applyNumberFormat="1" applyFont="1" applyFill="1" applyBorder="1" applyAlignment="1">
      <alignment horizontal="right" vertical="top" wrapText="1"/>
    </xf>
    <xf numFmtId="165" fontId="6" fillId="2" borderId="4" xfId="1" applyNumberFormat="1" applyFont="1" applyFill="1" applyBorder="1" applyAlignment="1">
      <alignment horizontal="right" vertical="top" wrapText="1"/>
    </xf>
    <xf numFmtId="165" fontId="6" fillId="2" borderId="5" xfId="1" applyNumberFormat="1" applyFont="1" applyFill="1" applyBorder="1" applyAlignment="1">
      <alignment horizontal="right" vertical="top" wrapText="1"/>
    </xf>
    <xf numFmtId="164" fontId="6" fillId="2" borderId="3" xfId="1" applyNumberFormat="1" applyFont="1" applyFill="1" applyBorder="1" applyAlignment="1" applyProtection="1">
      <alignment horizontal="center" vertical="top" wrapText="1"/>
      <protection hidden="1"/>
    </xf>
    <xf numFmtId="164" fontId="6" fillId="2" borderId="4" xfId="1" applyNumberFormat="1" applyFont="1" applyFill="1" applyBorder="1" applyAlignment="1" applyProtection="1">
      <alignment horizontal="center" vertical="top" wrapText="1"/>
      <protection hidden="1"/>
    </xf>
    <xf numFmtId="164" fontId="6" fillId="2" borderId="5" xfId="1" applyNumberFormat="1" applyFont="1" applyFill="1" applyBorder="1" applyAlignment="1" applyProtection="1">
      <alignment horizontal="center" vertical="top" wrapText="1"/>
      <protection hidden="1"/>
    </xf>
    <xf numFmtId="164" fontId="6" fillId="2" borderId="1" xfId="1" applyNumberFormat="1" applyFont="1" applyFill="1" applyBorder="1" applyAlignment="1" applyProtection="1">
      <alignment horizontal="center" vertical="top" wrapText="1"/>
      <protection hidden="1"/>
    </xf>
    <xf numFmtId="0" fontId="3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65" fontId="6" fillId="2" borderId="1" xfId="1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165" fontId="6" fillId="2" borderId="1" xfId="1" applyNumberFormat="1" applyFont="1" applyFill="1" applyBorder="1" applyAlignment="1">
      <alignment horizontal="center" vertical="top" wrapText="1"/>
    </xf>
    <xf numFmtId="166" fontId="4" fillId="2" borderId="1" xfId="1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 indent="4"/>
    </xf>
    <xf numFmtId="0" fontId="6" fillId="2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indent="2"/>
    </xf>
    <xf numFmtId="0" fontId="2" fillId="2" borderId="9" xfId="0" applyFont="1" applyFill="1" applyBorder="1" applyAlignment="1">
      <alignment horizontal="left" vertical="top" indent="2"/>
    </xf>
    <xf numFmtId="0" fontId="2" fillId="2" borderId="10" xfId="0" applyFont="1" applyFill="1" applyBorder="1" applyAlignment="1">
      <alignment horizontal="left" vertical="top" indent="2"/>
    </xf>
    <xf numFmtId="0" fontId="2" fillId="2" borderId="0" xfId="0" applyFont="1" applyFill="1" applyBorder="1" applyAlignment="1">
      <alignment horizontal="left" vertical="top" indent="2"/>
    </xf>
    <xf numFmtId="0" fontId="2" fillId="2" borderId="12" xfId="0" applyFont="1" applyFill="1" applyBorder="1" applyAlignment="1">
      <alignment horizontal="left" vertical="top" indent="2"/>
    </xf>
    <xf numFmtId="0" fontId="2" fillId="2" borderId="14" xfId="0" applyFont="1" applyFill="1" applyBorder="1" applyAlignment="1">
      <alignment horizontal="left" vertical="top" indent="2"/>
    </xf>
    <xf numFmtId="0" fontId="2" fillId="2" borderId="1" xfId="0" applyFont="1" applyFill="1" applyBorder="1" applyAlignment="1">
      <alignment horizontal="left" vertical="top" inden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14"/>
  <sheetViews>
    <sheetView view="pageBreakPreview" zoomScale="67" zoomScaleNormal="73" zoomScaleSheetLayoutView="67" workbookViewId="0">
      <selection activeCell="H20" sqref="H20:H21"/>
    </sheetView>
  </sheetViews>
  <sheetFormatPr defaultColWidth="9.109375" defaultRowHeight="18" outlineLevelRow="3" outlineLevelCol="1"/>
  <cols>
    <col min="1" max="1" width="6.88671875" style="3" customWidth="1"/>
    <col min="2" max="2" width="82.5546875" style="3" customWidth="1"/>
    <col min="3" max="3" width="14.88671875" style="3" customWidth="1"/>
    <col min="4" max="4" width="16.109375" style="3" customWidth="1"/>
    <col min="5" max="5" width="17.44140625" style="3" customWidth="1"/>
    <col min="6" max="6" width="16.5546875" style="3" customWidth="1" outlineLevel="1"/>
    <col min="7" max="7" width="19.6640625" style="3" customWidth="1" outlineLevel="1"/>
    <col min="8" max="8" width="21.33203125" style="3" customWidth="1"/>
    <col min="9" max="9" width="19.88671875" style="3" customWidth="1"/>
    <col min="10" max="10" width="17.88671875" style="3" customWidth="1" outlineLevel="1"/>
    <col min="11" max="11" width="19.6640625" style="3" customWidth="1" outlineLevel="1"/>
    <col min="12" max="16384" width="9.109375" style="3"/>
  </cols>
  <sheetData>
    <row r="1" spans="1:11" s="12" customFormat="1" ht="2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12" customFormat="1" ht="21">
      <c r="A2" s="147" t="s">
        <v>204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s="15" customFormat="1" ht="23.25" customHeight="1">
      <c r="A3" s="148"/>
      <c r="B3" s="148"/>
      <c r="C3" s="148"/>
    </row>
    <row r="4" spans="1:11" ht="20.25" customHeight="1">
      <c r="A4" s="143" t="s">
        <v>1</v>
      </c>
      <c r="B4" s="143"/>
      <c r="C4" s="16"/>
      <c r="E4" s="50"/>
      <c r="F4" s="50"/>
      <c r="G4" s="50"/>
      <c r="H4" s="50"/>
      <c r="I4" s="50"/>
      <c r="J4" s="50"/>
      <c r="K4" s="50"/>
    </row>
    <row r="5" spans="1:11" ht="21.75" customHeight="1">
      <c r="A5" s="143" t="s">
        <v>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ht="21.75" customHeight="1">
      <c r="C6" s="50"/>
      <c r="D6" s="50"/>
      <c r="E6" s="50"/>
      <c r="F6" s="50"/>
      <c r="G6" s="50"/>
      <c r="H6" s="50"/>
      <c r="I6" s="50"/>
      <c r="J6" s="50"/>
      <c r="K6" s="50"/>
    </row>
    <row r="7" spans="1:11" ht="20.25" customHeight="1">
      <c r="A7" s="143" t="s">
        <v>10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s="2" customFormat="1" ht="152.25" customHeight="1">
      <c r="A8" s="1" t="s">
        <v>2</v>
      </c>
      <c r="B8" s="1" t="s">
        <v>12</v>
      </c>
      <c r="C8" s="1" t="s">
        <v>13</v>
      </c>
      <c r="D8" s="1" t="s">
        <v>3</v>
      </c>
      <c r="E8" s="1" t="s">
        <v>4</v>
      </c>
      <c r="F8" s="1" t="s">
        <v>19</v>
      </c>
      <c r="G8" s="1" t="s">
        <v>11</v>
      </c>
      <c r="H8" s="1" t="s">
        <v>8</v>
      </c>
      <c r="I8" s="1" t="s">
        <v>9</v>
      </c>
      <c r="J8" s="1" t="s">
        <v>33</v>
      </c>
      <c r="K8" s="1" t="s">
        <v>23</v>
      </c>
    </row>
    <row r="9" spans="1:11" s="2" customForma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s="2" customFormat="1" ht="26.25" customHeight="1">
      <c r="A10" s="144" t="s">
        <v>85</v>
      </c>
      <c r="B10" s="144"/>
      <c r="C10" s="144"/>
      <c r="D10" s="144"/>
      <c r="E10" s="144"/>
      <c r="F10" s="144"/>
      <c r="G10" s="144"/>
      <c r="H10" s="52">
        <f>H11+H16+H19+H26</f>
        <v>3018280.3000000003</v>
      </c>
      <c r="I10" s="52">
        <f>I11+I16+I19+I26</f>
        <v>2984114.3369999998</v>
      </c>
      <c r="J10" s="13">
        <f>I10/H10</f>
        <v>0.98868032137373041</v>
      </c>
      <c r="K10" s="7">
        <f>I10-H10</f>
        <v>-34165.963000000454</v>
      </c>
    </row>
    <row r="11" spans="1:11" ht="36">
      <c r="A11" s="132" t="s">
        <v>28</v>
      </c>
      <c r="B11" s="24" t="s">
        <v>152</v>
      </c>
      <c r="C11" s="14"/>
      <c r="D11" s="14" t="s">
        <v>6</v>
      </c>
      <c r="E11" s="14" t="s">
        <v>6</v>
      </c>
      <c r="F11" s="9" t="s">
        <v>6</v>
      </c>
      <c r="G11" s="10" t="s">
        <v>6</v>
      </c>
      <c r="H11" s="133">
        <f>1006631.9+1358162.7</f>
        <v>2364794.6</v>
      </c>
      <c r="I11" s="133">
        <f>2984114.337-I16-I19-I26</f>
        <v>2364342.2969999998</v>
      </c>
      <c r="J11" s="142">
        <f>I11/H11</f>
        <v>0.99980873476284138</v>
      </c>
      <c r="K11" s="149">
        <f>I11-H11</f>
        <v>-452.30300000030547</v>
      </c>
    </row>
    <row r="12" spans="1:11" ht="36">
      <c r="A12" s="132"/>
      <c r="B12" s="25" t="s">
        <v>30</v>
      </c>
      <c r="C12" s="14" t="s">
        <v>25</v>
      </c>
      <c r="D12" s="10">
        <v>33656</v>
      </c>
      <c r="E12" s="10">
        <f>36439</f>
        <v>36439</v>
      </c>
      <c r="F12" s="9">
        <f>IF(E12/D12&gt;150%,1.5,E12/D12)</f>
        <v>1.0826895650106965</v>
      </c>
      <c r="G12" s="10">
        <f>IF(E12-D12=0,"-",E12-D12)</f>
        <v>2783</v>
      </c>
      <c r="H12" s="133"/>
      <c r="I12" s="133"/>
      <c r="J12" s="142"/>
      <c r="K12" s="149"/>
    </row>
    <row r="13" spans="1:11" ht="36">
      <c r="A13" s="132"/>
      <c r="B13" s="25" t="s">
        <v>31</v>
      </c>
      <c r="C13" s="14" t="s">
        <v>20</v>
      </c>
      <c r="D13" s="10">
        <v>138</v>
      </c>
      <c r="E13" s="10">
        <v>138</v>
      </c>
      <c r="F13" s="9">
        <f t="shared" ref="F13:F16" si="0">IF(E13/D13&gt;150%,1.5,E13/D13)</f>
        <v>1</v>
      </c>
      <c r="G13" s="10" t="str">
        <f t="shared" ref="G13:G16" si="1">IF(E13-D13=0,"-",E13-D13)</f>
        <v>-</v>
      </c>
      <c r="H13" s="133"/>
      <c r="I13" s="133"/>
      <c r="J13" s="142"/>
      <c r="K13" s="149"/>
    </row>
    <row r="14" spans="1:11" ht="59.25" customHeight="1" collapsed="1">
      <c r="A14" s="132"/>
      <c r="B14" s="25" t="s">
        <v>32</v>
      </c>
      <c r="C14" s="14" t="s">
        <v>25</v>
      </c>
      <c r="D14" s="10">
        <v>200</v>
      </c>
      <c r="E14" s="58">
        <v>1345</v>
      </c>
      <c r="F14" s="9">
        <f t="shared" si="0"/>
        <v>1.5</v>
      </c>
      <c r="G14" s="10">
        <f t="shared" si="1"/>
        <v>1145</v>
      </c>
      <c r="H14" s="133"/>
      <c r="I14" s="133"/>
      <c r="J14" s="142"/>
      <c r="K14" s="149"/>
    </row>
    <row r="15" spans="1:11" ht="36" hidden="1" outlineLevel="1">
      <c r="A15" s="132"/>
      <c r="B15" s="25" t="s">
        <v>147</v>
      </c>
      <c r="C15" s="14"/>
      <c r="D15" s="10"/>
      <c r="E15" s="10"/>
      <c r="F15" s="9"/>
      <c r="G15" s="10"/>
      <c r="H15" s="133"/>
      <c r="I15" s="133"/>
      <c r="J15" s="142"/>
      <c r="K15" s="149"/>
    </row>
    <row r="16" spans="1:11" ht="177" customHeight="1" collapsed="1">
      <c r="A16" s="51" t="s">
        <v>29</v>
      </c>
      <c r="B16" s="24" t="s">
        <v>153</v>
      </c>
      <c r="C16" s="14" t="s">
        <v>20</v>
      </c>
      <c r="D16" s="10">
        <v>1</v>
      </c>
      <c r="E16" s="10">
        <v>3</v>
      </c>
      <c r="F16" s="9">
        <f t="shared" si="0"/>
        <v>1.5</v>
      </c>
      <c r="G16" s="10">
        <f t="shared" si="1"/>
        <v>2</v>
      </c>
      <c r="H16" s="57">
        <v>11214.1</v>
      </c>
      <c r="I16" s="57">
        <v>11214.1</v>
      </c>
      <c r="J16" s="11">
        <f>I16/H16</f>
        <v>1</v>
      </c>
      <c r="K16" s="5">
        <f>I16-H16</f>
        <v>0</v>
      </c>
    </row>
    <row r="17" spans="1:11" ht="18.75" hidden="1" customHeight="1" outlineLevel="1">
      <c r="A17" s="132"/>
      <c r="B17" s="24" t="s">
        <v>154</v>
      </c>
      <c r="C17" s="152"/>
      <c r="D17" s="152"/>
      <c r="E17" s="153"/>
      <c r="F17" s="154"/>
      <c r="G17" s="153"/>
      <c r="H17" s="133"/>
      <c r="I17" s="133"/>
      <c r="J17" s="142"/>
      <c r="K17" s="145"/>
    </row>
    <row r="18" spans="1:11" ht="108" hidden="1" outlineLevel="1">
      <c r="A18" s="132"/>
      <c r="B18" s="40" t="s">
        <v>151</v>
      </c>
      <c r="C18" s="152"/>
      <c r="D18" s="152"/>
      <c r="E18" s="153"/>
      <c r="F18" s="154"/>
      <c r="G18" s="153"/>
      <c r="H18" s="133"/>
      <c r="I18" s="133"/>
      <c r="J18" s="142"/>
      <c r="K18" s="145"/>
    </row>
    <row r="19" spans="1:11" ht="72">
      <c r="A19" s="126" t="s">
        <v>51</v>
      </c>
      <c r="B19" s="40" t="s">
        <v>155</v>
      </c>
      <c r="C19" s="68" t="s">
        <v>6</v>
      </c>
      <c r="D19" s="120" t="s">
        <v>161</v>
      </c>
      <c r="E19" s="121"/>
      <c r="F19" s="70" t="s">
        <v>6</v>
      </c>
      <c r="G19" s="69" t="s">
        <v>6</v>
      </c>
      <c r="H19" s="64">
        <f>305513.7+263514.5+33119.8</f>
        <v>602148</v>
      </c>
      <c r="I19" s="101">
        <f>SUM(I20:I21)</f>
        <v>568434.84</v>
      </c>
      <c r="J19" s="65">
        <f t="shared" ref="J19:J21" si="2">I19/H19</f>
        <v>0.94401183762131569</v>
      </c>
      <c r="K19" s="66">
        <f t="shared" ref="K19:K21" si="3">I19-H19</f>
        <v>-33713.160000000033</v>
      </c>
    </row>
    <row r="20" spans="1:11" ht="97.5" customHeight="1">
      <c r="A20" s="127"/>
      <c r="B20" s="73" t="s">
        <v>157</v>
      </c>
      <c r="C20" s="68" t="s">
        <v>6</v>
      </c>
      <c r="D20" s="122"/>
      <c r="E20" s="123"/>
      <c r="F20" s="70" t="s">
        <v>6</v>
      </c>
      <c r="G20" s="69" t="s">
        <v>6</v>
      </c>
      <c r="H20" s="112">
        <v>325000</v>
      </c>
      <c r="I20" s="101">
        <v>283943.67</v>
      </c>
      <c r="J20" s="65">
        <f t="shared" si="2"/>
        <v>0.87367283076923075</v>
      </c>
      <c r="K20" s="66">
        <f t="shared" si="3"/>
        <v>-41056.330000000016</v>
      </c>
    </row>
    <row r="21" spans="1:11" ht="99.75" customHeight="1" collapsed="1">
      <c r="A21" s="128"/>
      <c r="B21" s="73" t="s">
        <v>158</v>
      </c>
      <c r="C21" s="68" t="s">
        <v>6</v>
      </c>
      <c r="D21" s="124"/>
      <c r="E21" s="125"/>
      <c r="F21" s="70" t="s">
        <v>6</v>
      </c>
      <c r="G21" s="69" t="s">
        <v>6</v>
      </c>
      <c r="H21" s="112">
        <v>277148</v>
      </c>
      <c r="I21" s="101">
        <v>284491.17</v>
      </c>
      <c r="J21" s="65">
        <f t="shared" si="2"/>
        <v>1.0264954825580557</v>
      </c>
      <c r="K21" s="66">
        <f t="shared" si="3"/>
        <v>7343.1699999999837</v>
      </c>
    </row>
    <row r="22" spans="1:11" ht="218.25" hidden="1" customHeight="1" outlineLevel="1">
      <c r="A22" s="132"/>
      <c r="B22" s="24" t="s">
        <v>156</v>
      </c>
      <c r="C22" s="14"/>
      <c r="D22" s="10"/>
      <c r="E22" s="10"/>
      <c r="F22" s="9"/>
      <c r="G22" s="10"/>
      <c r="H22" s="133"/>
      <c r="I22" s="133"/>
      <c r="J22" s="133"/>
      <c r="K22" s="133"/>
    </row>
    <row r="23" spans="1:11" ht="20.25" hidden="1" customHeight="1" outlineLevel="1">
      <c r="A23" s="132"/>
      <c r="B23" s="25" t="s">
        <v>87</v>
      </c>
      <c r="C23" s="14"/>
      <c r="D23" s="10"/>
      <c r="E23" s="10"/>
      <c r="F23" s="9"/>
      <c r="G23" s="10"/>
      <c r="H23" s="133"/>
      <c r="I23" s="133"/>
      <c r="J23" s="133"/>
      <c r="K23" s="133"/>
    </row>
    <row r="24" spans="1:11" ht="21" hidden="1" outlineLevel="1">
      <c r="A24" s="132"/>
      <c r="B24" s="25" t="s">
        <v>88</v>
      </c>
      <c r="C24" s="14"/>
      <c r="D24" s="10"/>
      <c r="E24" s="10"/>
      <c r="F24" s="9"/>
      <c r="G24" s="10"/>
      <c r="H24" s="133"/>
      <c r="I24" s="133"/>
      <c r="J24" s="133"/>
      <c r="K24" s="133"/>
    </row>
    <row r="25" spans="1:11" ht="138" hidden="1" customHeight="1" outlineLevel="1">
      <c r="A25" s="51"/>
      <c r="B25" s="24" t="s">
        <v>162</v>
      </c>
      <c r="C25" s="14"/>
      <c r="D25" s="10"/>
      <c r="E25" s="10"/>
      <c r="F25" s="9"/>
      <c r="G25" s="10"/>
      <c r="H25" s="57"/>
      <c r="I25" s="57"/>
      <c r="J25" s="11"/>
      <c r="K25" s="5"/>
    </row>
    <row r="26" spans="1:11" ht="117" customHeight="1">
      <c r="A26" s="132" t="s">
        <v>52</v>
      </c>
      <c r="B26" s="24" t="s">
        <v>163</v>
      </c>
      <c r="C26" s="14" t="s">
        <v>6</v>
      </c>
      <c r="D26" s="10" t="s">
        <v>6</v>
      </c>
      <c r="E26" s="10"/>
      <c r="F26" s="9" t="s">
        <v>6</v>
      </c>
      <c r="G26" s="10" t="s">
        <v>6</v>
      </c>
      <c r="H26" s="133">
        <f>30728.4+9395.2</f>
        <v>40123.600000000006</v>
      </c>
      <c r="I26" s="133">
        <v>40123.1</v>
      </c>
      <c r="J26" s="142">
        <f t="shared" ref="J26" si="4">I26/H26</f>
        <v>0.99998753850601618</v>
      </c>
      <c r="K26" s="149">
        <f t="shared" ref="K26" si="5">I26-H26</f>
        <v>-0.50000000000727596</v>
      </c>
    </row>
    <row r="27" spans="1:11" ht="72">
      <c r="A27" s="132"/>
      <c r="B27" s="25" t="s">
        <v>89</v>
      </c>
      <c r="C27" s="14" t="s">
        <v>20</v>
      </c>
      <c r="D27" s="10">
        <v>35</v>
      </c>
      <c r="E27" s="10">
        <v>63</v>
      </c>
      <c r="F27" s="9">
        <f t="shared" ref="F27:F28" si="6">IF(E27/D27&gt;150%,1.5,E27/D27)</f>
        <v>1.5</v>
      </c>
      <c r="G27" s="10">
        <f t="shared" ref="G27:G28" si="7">IF(E27-D27=0,"-",E27-D27)</f>
        <v>28</v>
      </c>
      <c r="H27" s="133"/>
      <c r="I27" s="133"/>
      <c r="J27" s="142"/>
      <c r="K27" s="149"/>
    </row>
    <row r="28" spans="1:11" ht="78.75" customHeight="1" collapsed="1">
      <c r="A28" s="132"/>
      <c r="B28" s="25" t="s">
        <v>90</v>
      </c>
      <c r="C28" s="14" t="s">
        <v>20</v>
      </c>
      <c r="D28" s="10">
        <v>8</v>
      </c>
      <c r="E28" s="10">
        <v>61</v>
      </c>
      <c r="F28" s="9">
        <f t="shared" si="6"/>
        <v>1.5</v>
      </c>
      <c r="G28" s="10">
        <f t="shared" si="7"/>
        <v>53</v>
      </c>
      <c r="H28" s="133"/>
      <c r="I28" s="133"/>
      <c r="J28" s="142"/>
      <c r="K28" s="149"/>
    </row>
    <row r="29" spans="1:11" ht="126" hidden="1" outlineLevel="2">
      <c r="A29" s="51"/>
      <c r="B29" s="24" t="s">
        <v>164</v>
      </c>
      <c r="C29" s="14"/>
      <c r="D29" s="10"/>
      <c r="E29" s="10"/>
      <c r="F29" s="9"/>
      <c r="G29" s="10"/>
      <c r="H29" s="57"/>
      <c r="I29" s="57"/>
      <c r="J29" s="57"/>
      <c r="K29" s="57"/>
    </row>
    <row r="30" spans="1:11" ht="44.25" customHeight="1">
      <c r="A30" s="119" t="s">
        <v>91</v>
      </c>
      <c r="B30" s="119"/>
      <c r="C30" s="119"/>
      <c r="D30" s="119"/>
      <c r="E30" s="119"/>
      <c r="F30" s="119"/>
      <c r="G30" s="119"/>
      <c r="H30" s="6">
        <f>H31+H45+H50+H53+H54+H55+H60+H63</f>
        <v>4410241.5</v>
      </c>
      <c r="I30" s="6">
        <f>I31+I45+I50+I53+I54+I55+I60+I63</f>
        <v>4409962.9544500001</v>
      </c>
      <c r="J30" s="13">
        <f t="shared" ref="J30" si="8">I30/H30</f>
        <v>0.99993684120246029</v>
      </c>
      <c r="K30" s="7">
        <f t="shared" ref="K30" si="9">I30-H30</f>
        <v>-278.54554999992251</v>
      </c>
    </row>
    <row r="31" spans="1:11" ht="36" outlineLevel="1">
      <c r="A31" s="132" t="s">
        <v>53</v>
      </c>
      <c r="B31" s="24" t="s">
        <v>171</v>
      </c>
      <c r="C31" s="14"/>
      <c r="D31" s="14" t="s">
        <v>6</v>
      </c>
      <c r="E31" s="14" t="s">
        <v>6</v>
      </c>
      <c r="F31" s="9" t="s">
        <v>6</v>
      </c>
      <c r="G31" s="10" t="s">
        <v>6</v>
      </c>
      <c r="H31" s="133">
        <f>1240620.2+1924818.9</f>
        <v>3165439.0999999996</v>
      </c>
      <c r="I31" s="133">
        <v>3165358.6944499998</v>
      </c>
      <c r="J31" s="142">
        <f>I31/H31</f>
        <v>0.99997459892689144</v>
      </c>
      <c r="K31" s="145">
        <f>I31-H31</f>
        <v>-80.405549999792129</v>
      </c>
    </row>
    <row r="32" spans="1:11" ht="46.8" outlineLevel="2">
      <c r="A32" s="132"/>
      <c r="B32" s="26" t="s">
        <v>39</v>
      </c>
      <c r="C32" s="14" t="s">
        <v>25</v>
      </c>
      <c r="D32" s="10">
        <v>132225</v>
      </c>
      <c r="E32" s="58">
        <f>63466+48858</f>
        <v>112324</v>
      </c>
      <c r="F32" s="9">
        <f t="shared" ref="F32:F34" si="10">IF(E32/D32&gt;150%,1.5,E32/D32)</f>
        <v>0.8494913972395538</v>
      </c>
      <c r="G32" s="10">
        <f t="shared" ref="G32:G34" si="11">IF(E32-D32=0,"-",E32-D32)</f>
        <v>-19901</v>
      </c>
      <c r="H32" s="133"/>
      <c r="I32" s="133"/>
      <c r="J32" s="142"/>
      <c r="K32" s="145"/>
    </row>
    <row r="33" spans="1:11" ht="46.8" outlineLevel="2">
      <c r="A33" s="132"/>
      <c r="B33" s="26" t="s">
        <v>40</v>
      </c>
      <c r="C33" s="14" t="s">
        <v>20</v>
      </c>
      <c r="D33" s="10">
        <v>100</v>
      </c>
      <c r="E33" s="58">
        <f>85+15</f>
        <v>100</v>
      </c>
      <c r="F33" s="9">
        <f t="shared" si="10"/>
        <v>1</v>
      </c>
      <c r="G33" s="10" t="str">
        <f t="shared" si="11"/>
        <v>-</v>
      </c>
      <c r="H33" s="133"/>
      <c r="I33" s="133"/>
      <c r="J33" s="142"/>
      <c r="K33" s="145"/>
    </row>
    <row r="34" spans="1:11" ht="51" customHeight="1" outlineLevel="2">
      <c r="A34" s="132"/>
      <c r="B34" s="26" t="s">
        <v>41</v>
      </c>
      <c r="C34" s="14" t="s">
        <v>25</v>
      </c>
      <c r="D34" s="10">
        <v>200</v>
      </c>
      <c r="E34" s="58">
        <v>1275</v>
      </c>
      <c r="F34" s="9">
        <f t="shared" si="10"/>
        <v>1.5</v>
      </c>
      <c r="G34" s="10">
        <f t="shared" si="11"/>
        <v>1075</v>
      </c>
      <c r="H34" s="133"/>
      <c r="I34" s="133"/>
      <c r="J34" s="142"/>
      <c r="K34" s="145"/>
    </row>
    <row r="35" spans="1:11" ht="17.25" customHeight="1" outlineLevel="2">
      <c r="A35" s="51"/>
      <c r="B35" s="42" t="s">
        <v>98</v>
      </c>
      <c r="C35" s="49"/>
      <c r="D35" s="10"/>
      <c r="E35" s="10"/>
      <c r="F35" s="9"/>
      <c r="G35" s="10"/>
      <c r="H35" s="57"/>
      <c r="I35" s="57"/>
      <c r="J35" s="11"/>
      <c r="K35" s="5"/>
    </row>
    <row r="36" spans="1:11" ht="95.25" customHeight="1" outlineLevel="2">
      <c r="A36" s="51"/>
      <c r="B36" s="25" t="s">
        <v>165</v>
      </c>
      <c r="C36" s="14" t="s">
        <v>25</v>
      </c>
      <c r="D36" s="61" t="s">
        <v>6</v>
      </c>
      <c r="E36" s="61" t="s">
        <v>6</v>
      </c>
      <c r="F36" s="9" t="s">
        <v>6</v>
      </c>
      <c r="G36" s="10" t="s">
        <v>6</v>
      </c>
      <c r="H36" s="57">
        <f>35755.3+57600</f>
        <v>93355.3</v>
      </c>
      <c r="I36" s="59">
        <v>93355.304000000004</v>
      </c>
      <c r="J36" s="11">
        <f t="shared" ref="J36:J43" si="12">I36/H36</f>
        <v>1.0000000428470586</v>
      </c>
      <c r="K36" s="5">
        <f t="shared" ref="K36:K43" si="13">I36-H36</f>
        <v>4.0000000008149073E-3</v>
      </c>
    </row>
    <row r="37" spans="1:11" ht="78.75" customHeight="1" outlineLevel="2">
      <c r="A37" s="51"/>
      <c r="B37" s="25" t="s">
        <v>169</v>
      </c>
      <c r="C37" s="14" t="s">
        <v>25</v>
      </c>
      <c r="D37" s="10">
        <v>35</v>
      </c>
      <c r="E37" s="10">
        <v>35</v>
      </c>
      <c r="F37" s="9">
        <f t="shared" ref="F37:F43" si="14">IF(E37/D37&gt;150%,1.5,E37/D37)</f>
        <v>1</v>
      </c>
      <c r="G37" s="10" t="str">
        <f t="shared" ref="G37:G43" si="15">IF(E37-D37=0,"-",E37-D37)</f>
        <v>-</v>
      </c>
      <c r="H37" s="57">
        <v>315</v>
      </c>
      <c r="I37" s="57">
        <v>315</v>
      </c>
      <c r="J37" s="11">
        <f t="shared" si="12"/>
        <v>1</v>
      </c>
      <c r="K37" s="5">
        <f t="shared" si="13"/>
        <v>0</v>
      </c>
    </row>
    <row r="38" spans="1:11" ht="76.5" customHeight="1" outlineLevel="2">
      <c r="A38" s="51"/>
      <c r="B38" s="25" t="s">
        <v>93</v>
      </c>
      <c r="C38" s="14" t="s">
        <v>20</v>
      </c>
      <c r="D38" s="10">
        <v>3</v>
      </c>
      <c r="E38" s="10">
        <v>3</v>
      </c>
      <c r="F38" s="9">
        <f t="shared" si="14"/>
        <v>1</v>
      </c>
      <c r="G38" s="10" t="str">
        <f t="shared" si="15"/>
        <v>-</v>
      </c>
      <c r="H38" s="57">
        <v>1500</v>
      </c>
      <c r="I38" s="57">
        <v>1500</v>
      </c>
      <c r="J38" s="11">
        <f t="shared" si="12"/>
        <v>1</v>
      </c>
      <c r="K38" s="5">
        <f t="shared" si="13"/>
        <v>0</v>
      </c>
    </row>
    <row r="39" spans="1:11" ht="96" customHeight="1" outlineLevel="2">
      <c r="A39" s="51"/>
      <c r="B39" s="25" t="s">
        <v>94</v>
      </c>
      <c r="C39" s="14" t="s">
        <v>25</v>
      </c>
      <c r="D39" s="10">
        <v>1</v>
      </c>
      <c r="E39" s="10">
        <v>1</v>
      </c>
      <c r="F39" s="9">
        <f t="shared" si="14"/>
        <v>1</v>
      </c>
      <c r="G39" s="10" t="str">
        <f t="shared" si="15"/>
        <v>-</v>
      </c>
      <c r="H39" s="57">
        <v>10</v>
      </c>
      <c r="I39" s="57">
        <v>10</v>
      </c>
      <c r="J39" s="11">
        <f t="shared" si="12"/>
        <v>1</v>
      </c>
      <c r="K39" s="5">
        <f t="shared" si="13"/>
        <v>0</v>
      </c>
    </row>
    <row r="40" spans="1:11" ht="54" outlineLevel="2">
      <c r="A40" s="51"/>
      <c r="B40" s="25" t="s">
        <v>95</v>
      </c>
      <c r="C40" s="14" t="s">
        <v>25</v>
      </c>
      <c r="D40" s="10">
        <v>4</v>
      </c>
      <c r="E40" s="10">
        <v>4</v>
      </c>
      <c r="F40" s="9">
        <f t="shared" si="14"/>
        <v>1</v>
      </c>
      <c r="G40" s="10" t="str">
        <f t="shared" si="15"/>
        <v>-</v>
      </c>
      <c r="H40" s="57">
        <v>200</v>
      </c>
      <c r="I40" s="57">
        <v>200</v>
      </c>
      <c r="J40" s="11">
        <f t="shared" si="12"/>
        <v>1</v>
      </c>
      <c r="K40" s="5">
        <f t="shared" si="13"/>
        <v>0</v>
      </c>
    </row>
    <row r="41" spans="1:11" ht="72" outlineLevel="2" collapsed="1">
      <c r="A41" s="51"/>
      <c r="B41" s="25" t="s">
        <v>145</v>
      </c>
      <c r="C41" s="14" t="s">
        <v>25</v>
      </c>
      <c r="D41" s="10">
        <v>2</v>
      </c>
      <c r="E41" s="10">
        <v>2</v>
      </c>
      <c r="F41" s="9">
        <f t="shared" si="14"/>
        <v>1</v>
      </c>
      <c r="G41" s="10" t="str">
        <f t="shared" si="15"/>
        <v>-</v>
      </c>
      <c r="H41" s="57">
        <v>22</v>
      </c>
      <c r="I41" s="57">
        <v>22</v>
      </c>
      <c r="J41" s="11">
        <f t="shared" si="12"/>
        <v>1</v>
      </c>
      <c r="K41" s="5">
        <f t="shared" si="13"/>
        <v>0</v>
      </c>
    </row>
    <row r="42" spans="1:11" ht="135.75" hidden="1" customHeight="1" outlineLevel="3">
      <c r="A42" s="51"/>
      <c r="B42" s="25" t="s">
        <v>96</v>
      </c>
      <c r="C42" s="14"/>
      <c r="D42" s="10"/>
      <c r="E42" s="10"/>
      <c r="F42" s="9"/>
      <c r="G42" s="10"/>
      <c r="H42" s="57"/>
      <c r="I42" s="57"/>
      <c r="J42" s="57"/>
      <c r="K42" s="57"/>
    </row>
    <row r="43" spans="1:11" ht="58.5" customHeight="1" outlineLevel="2">
      <c r="A43" s="51"/>
      <c r="B43" s="25" t="s">
        <v>97</v>
      </c>
      <c r="C43" s="14" t="s">
        <v>20</v>
      </c>
      <c r="D43" s="10">
        <v>1</v>
      </c>
      <c r="E43" s="10">
        <v>1</v>
      </c>
      <c r="F43" s="9">
        <f t="shared" si="14"/>
        <v>1</v>
      </c>
      <c r="G43" s="10" t="str">
        <f t="shared" si="15"/>
        <v>-</v>
      </c>
      <c r="H43" s="57">
        <v>30</v>
      </c>
      <c r="I43" s="57">
        <v>30</v>
      </c>
      <c r="J43" s="11">
        <f t="shared" si="12"/>
        <v>1</v>
      </c>
      <c r="K43" s="5">
        <f t="shared" si="13"/>
        <v>0</v>
      </c>
    </row>
    <row r="44" spans="1:11" ht="42.75" customHeight="1" outlineLevel="2">
      <c r="A44" s="51"/>
      <c r="B44" s="25" t="s">
        <v>143</v>
      </c>
      <c r="C44" s="14" t="s">
        <v>25</v>
      </c>
      <c r="D44" s="76" t="s">
        <v>166</v>
      </c>
      <c r="E44" s="61">
        <v>1065.4000000000001</v>
      </c>
      <c r="F44" s="9" t="e">
        <f t="shared" ref="F44" si="16">IF(E44/D44&gt;150%,1.5,E44/D44)</f>
        <v>#VALUE!</v>
      </c>
      <c r="G44" s="10" t="e">
        <f t="shared" ref="G44" si="17">IF(E44-D44=0,"-",E44-D44)</f>
        <v>#VALUE!</v>
      </c>
      <c r="H44" s="57">
        <f>39362.4+59209.5</f>
        <v>98571.9</v>
      </c>
      <c r="I44" s="57">
        <v>98571.9</v>
      </c>
      <c r="J44" s="11">
        <f t="shared" ref="J44" si="18">I44/H44</f>
        <v>1</v>
      </c>
      <c r="K44" s="5">
        <f t="shared" ref="K44" si="19">I44-H44</f>
        <v>0</v>
      </c>
    </row>
    <row r="45" spans="1:11" ht="171" customHeight="1" outlineLevel="1">
      <c r="A45" s="132" t="s">
        <v>54</v>
      </c>
      <c r="B45" s="40" t="s">
        <v>192</v>
      </c>
      <c r="C45" s="14"/>
      <c r="D45" s="14" t="s">
        <v>6</v>
      </c>
      <c r="E45" s="14" t="s">
        <v>6</v>
      </c>
      <c r="F45" s="9" t="s">
        <v>6</v>
      </c>
      <c r="G45" s="10" t="s">
        <v>6</v>
      </c>
      <c r="H45" s="57">
        <f>22580+222.2+22136.9</f>
        <v>44939.100000000006</v>
      </c>
      <c r="I45" s="57">
        <v>44938.400000000001</v>
      </c>
      <c r="J45" s="11">
        <f>I45/H45</f>
        <v>0.99998442336406368</v>
      </c>
      <c r="K45" s="5">
        <f>I45-H45</f>
        <v>-0.70000000000436557</v>
      </c>
    </row>
    <row r="46" spans="1:11" ht="21" outlineLevel="1">
      <c r="A46" s="132"/>
      <c r="B46" s="42" t="s">
        <v>92</v>
      </c>
      <c r="C46" s="14"/>
      <c r="D46" s="14"/>
      <c r="E46" s="14"/>
      <c r="F46" s="9"/>
      <c r="G46" s="10"/>
      <c r="H46" s="57"/>
      <c r="I46" s="57"/>
      <c r="J46" s="11"/>
      <c r="K46" s="5"/>
    </row>
    <row r="47" spans="1:11" ht="21" outlineLevel="1">
      <c r="A47" s="132"/>
      <c r="B47" s="42"/>
      <c r="C47" s="105"/>
      <c r="D47" s="108"/>
      <c r="E47" s="109"/>
      <c r="F47" s="107"/>
      <c r="G47" s="106"/>
      <c r="H47" s="102"/>
      <c r="I47" s="102"/>
      <c r="J47" s="103"/>
      <c r="K47" s="104"/>
    </row>
    <row r="48" spans="1:11" ht="96.75" customHeight="1" outlineLevel="1">
      <c r="A48" s="132"/>
      <c r="B48" s="25" t="s">
        <v>170</v>
      </c>
      <c r="C48" s="68" t="s">
        <v>20</v>
      </c>
      <c r="D48" s="134" t="s">
        <v>234</v>
      </c>
      <c r="E48" s="135"/>
      <c r="F48" s="70" t="e">
        <f t="shared" ref="F48" si="20">IF(E48/D48&gt;150%,1.5,E48/D48)</f>
        <v>#VALUE!</v>
      </c>
      <c r="G48" s="69" t="e">
        <f t="shared" ref="G48" si="21">IF(E48-D48=0,"-",E48-D48)</f>
        <v>#VALUE!</v>
      </c>
      <c r="H48" s="64">
        <f>3721.2+21086.9</f>
        <v>24808.100000000002</v>
      </c>
      <c r="I48" s="64">
        <v>24808.1</v>
      </c>
      <c r="J48" s="65">
        <f>I48/H48</f>
        <v>0.99999999999999989</v>
      </c>
      <c r="K48" s="67">
        <f>I48-H48</f>
        <v>0</v>
      </c>
    </row>
    <row r="49" spans="1:11" ht="90" outlineLevel="1">
      <c r="A49" s="51"/>
      <c r="B49" s="25" t="s">
        <v>99</v>
      </c>
      <c r="C49" s="14" t="s">
        <v>20</v>
      </c>
      <c r="D49" s="10">
        <v>1</v>
      </c>
      <c r="E49" s="10">
        <v>1</v>
      </c>
      <c r="F49" s="9">
        <f t="shared" ref="F49" si="22">IF(E49/D49&gt;150%,1.5,E49/D49)</f>
        <v>1</v>
      </c>
      <c r="G49" s="10" t="str">
        <f t="shared" ref="G49" si="23">IF(E49-D49=0,"-",E49-D49)</f>
        <v>-</v>
      </c>
      <c r="H49" s="110">
        <v>1496.8</v>
      </c>
      <c r="I49" s="110">
        <v>1496.8</v>
      </c>
      <c r="J49" s="11">
        <f>I49/H49</f>
        <v>1</v>
      </c>
      <c r="K49" s="41">
        <f>I49-H49</f>
        <v>0</v>
      </c>
    </row>
    <row r="50" spans="1:11" ht="231" customHeight="1" outlineLevel="1">
      <c r="A50" s="132" t="s">
        <v>55</v>
      </c>
      <c r="B50" s="40" t="s">
        <v>172</v>
      </c>
      <c r="C50" s="14" t="s">
        <v>6</v>
      </c>
      <c r="D50" s="10" t="s">
        <v>6</v>
      </c>
      <c r="E50" s="10" t="s">
        <v>6</v>
      </c>
      <c r="F50" s="9" t="s">
        <v>6</v>
      </c>
      <c r="G50" s="10" t="s">
        <v>6</v>
      </c>
      <c r="H50" s="133">
        <v>446.9</v>
      </c>
      <c r="I50" s="133">
        <v>427.5</v>
      </c>
      <c r="J50" s="142">
        <f t="shared" ref="J50" si="24">I50/H50</f>
        <v>0.95658984112776912</v>
      </c>
      <c r="K50" s="145">
        <f t="shared" ref="K50" si="25">I50-H50</f>
        <v>-19.399999999999977</v>
      </c>
    </row>
    <row r="51" spans="1:11" ht="36" outlineLevel="1">
      <c r="A51" s="132"/>
      <c r="B51" s="43" t="s">
        <v>100</v>
      </c>
      <c r="C51" s="14" t="s">
        <v>20</v>
      </c>
      <c r="D51" s="10">
        <v>2</v>
      </c>
      <c r="E51" s="10">
        <v>2</v>
      </c>
      <c r="F51" s="9">
        <f t="shared" ref="F51:F54" si="26">IF(E51/D51&gt;150%,1.5,E51/D51)</f>
        <v>1</v>
      </c>
      <c r="G51" s="10" t="str">
        <f t="shared" ref="G51:G54" si="27">IF(E51-D51=0,"-",E51-D51)</f>
        <v>-</v>
      </c>
      <c r="H51" s="133"/>
      <c r="I51" s="133"/>
      <c r="J51" s="142"/>
      <c r="K51" s="145"/>
    </row>
    <row r="52" spans="1:11" ht="36" outlineLevel="1" collapsed="1">
      <c r="A52" s="132"/>
      <c r="B52" s="43" t="s">
        <v>101</v>
      </c>
      <c r="C52" s="14" t="s">
        <v>20</v>
      </c>
      <c r="D52" s="10">
        <v>1</v>
      </c>
      <c r="E52" s="10">
        <v>1</v>
      </c>
      <c r="F52" s="9">
        <f t="shared" si="26"/>
        <v>1</v>
      </c>
      <c r="G52" s="10" t="str">
        <f t="shared" si="27"/>
        <v>-</v>
      </c>
      <c r="H52" s="133"/>
      <c r="I52" s="133"/>
      <c r="J52" s="142"/>
      <c r="K52" s="145"/>
    </row>
    <row r="53" spans="1:11" ht="108" hidden="1" customHeight="1" outlineLevel="2">
      <c r="A53" s="51"/>
      <c r="B53" s="24" t="s">
        <v>173</v>
      </c>
      <c r="C53" s="14"/>
      <c r="D53" s="10"/>
      <c r="E53" s="10"/>
      <c r="F53" s="9"/>
      <c r="G53" s="10"/>
      <c r="H53" s="57"/>
      <c r="I53" s="57"/>
      <c r="J53" s="11"/>
      <c r="K53" s="5"/>
    </row>
    <row r="54" spans="1:11" ht="114" customHeight="1" outlineLevel="1" collapsed="1">
      <c r="A54" s="51" t="s">
        <v>56</v>
      </c>
      <c r="B54" s="40" t="s">
        <v>174</v>
      </c>
      <c r="C54" s="14" t="s">
        <v>20</v>
      </c>
      <c r="D54" s="10">
        <v>1</v>
      </c>
      <c r="E54" s="10">
        <v>1</v>
      </c>
      <c r="F54" s="9">
        <f t="shared" si="26"/>
        <v>1</v>
      </c>
      <c r="G54" s="10" t="str">
        <f t="shared" si="27"/>
        <v>-</v>
      </c>
      <c r="H54" s="57">
        <f>223.6+113.8+772.9</f>
        <v>1110.3</v>
      </c>
      <c r="I54" s="57">
        <v>1110.3</v>
      </c>
      <c r="J54" s="11">
        <f t="shared" ref="J54" si="28">I54/H54</f>
        <v>1</v>
      </c>
      <c r="K54" s="5">
        <f t="shared" ref="K54:K55" si="29">I54-H54</f>
        <v>0</v>
      </c>
    </row>
    <row r="55" spans="1:11" ht="120" hidden="1" customHeight="1" outlineLevel="2">
      <c r="A55" s="132"/>
      <c r="B55" s="40" t="s">
        <v>175</v>
      </c>
      <c r="C55" s="18"/>
      <c r="D55" s="44"/>
      <c r="E55" s="44"/>
      <c r="F55" s="22"/>
      <c r="G55" s="44"/>
      <c r="H55" s="133"/>
      <c r="I55" s="155"/>
      <c r="J55" s="142"/>
      <c r="K55" s="133">
        <f t="shared" si="29"/>
        <v>0</v>
      </c>
    </row>
    <row r="56" spans="1:11" ht="37.5" hidden="1" customHeight="1" outlineLevel="2">
      <c r="A56" s="132"/>
      <c r="B56" s="40" t="s">
        <v>102</v>
      </c>
      <c r="C56" s="14"/>
      <c r="D56" s="10"/>
      <c r="E56" s="58"/>
      <c r="F56" s="9"/>
      <c r="G56" s="10"/>
      <c r="H56" s="133"/>
      <c r="I56" s="155"/>
      <c r="J56" s="142"/>
      <c r="K56" s="133"/>
    </row>
    <row r="57" spans="1:11" ht="20.25" hidden="1" customHeight="1" outlineLevel="2">
      <c r="A57" s="132"/>
      <c r="B57" s="40" t="s">
        <v>103</v>
      </c>
      <c r="C57" s="14"/>
      <c r="D57" s="10"/>
      <c r="E57" s="58"/>
      <c r="F57" s="9"/>
      <c r="G57" s="10"/>
      <c r="H57" s="133"/>
      <c r="I57" s="155"/>
      <c r="J57" s="142"/>
      <c r="K57" s="133"/>
    </row>
    <row r="58" spans="1:11" ht="37.5" hidden="1" customHeight="1" outlineLevel="2">
      <c r="A58" s="132"/>
      <c r="B58" s="40" t="s">
        <v>104</v>
      </c>
      <c r="C58" s="14"/>
      <c r="D58" s="10"/>
      <c r="E58" s="58"/>
      <c r="F58" s="9"/>
      <c r="G58" s="10"/>
      <c r="H58" s="133"/>
      <c r="I58" s="155"/>
      <c r="J58" s="142"/>
      <c r="K58" s="133"/>
    </row>
    <row r="59" spans="1:11" ht="37.5" hidden="1" customHeight="1" outlineLevel="2">
      <c r="A59" s="132"/>
      <c r="B59" s="40" t="s">
        <v>105</v>
      </c>
      <c r="C59" s="14"/>
      <c r="D59" s="10"/>
      <c r="E59" s="58"/>
      <c r="F59" s="9"/>
      <c r="G59" s="10"/>
      <c r="H59" s="133"/>
      <c r="I59" s="155"/>
      <c r="J59" s="142"/>
      <c r="K59" s="133"/>
    </row>
    <row r="60" spans="1:11" ht="89.25" customHeight="1" outlineLevel="1">
      <c r="A60" s="132" t="s">
        <v>57</v>
      </c>
      <c r="B60" s="40" t="s">
        <v>176</v>
      </c>
      <c r="C60" s="18" t="s">
        <v>6</v>
      </c>
      <c r="D60" s="44" t="s">
        <v>6</v>
      </c>
      <c r="E60" s="44" t="s">
        <v>6</v>
      </c>
      <c r="F60" s="22" t="s">
        <v>6</v>
      </c>
      <c r="G60" s="44" t="s">
        <v>6</v>
      </c>
      <c r="H60" s="133">
        <f>78714+37879</f>
        <v>116593</v>
      </c>
      <c r="I60" s="133">
        <v>116592</v>
      </c>
      <c r="J60" s="142">
        <f>I60/H60</f>
        <v>0.99999142315576406</v>
      </c>
      <c r="K60" s="133">
        <f>I60-H60</f>
        <v>-1</v>
      </c>
    </row>
    <row r="61" spans="1:11" ht="75" customHeight="1" outlineLevel="2">
      <c r="A61" s="132"/>
      <c r="B61" s="43" t="s">
        <v>106</v>
      </c>
      <c r="C61" s="14" t="s">
        <v>20</v>
      </c>
      <c r="D61" s="10">
        <v>43</v>
      </c>
      <c r="E61" s="10">
        <v>65</v>
      </c>
      <c r="F61" s="9">
        <f t="shared" ref="F61:F62" si="30">IF(E61/D61&gt;150%,1.5,E61/D61)</f>
        <v>1.5</v>
      </c>
      <c r="G61" s="10">
        <f t="shared" ref="G61:G62" si="31">IF(E61-D61=0,"-",E61-D61)</f>
        <v>22</v>
      </c>
      <c r="H61" s="133"/>
      <c r="I61" s="133"/>
      <c r="J61" s="142"/>
      <c r="K61" s="133"/>
    </row>
    <row r="62" spans="1:11" ht="76.5" customHeight="1" outlineLevel="2">
      <c r="A62" s="132"/>
      <c r="B62" s="43" t="s">
        <v>177</v>
      </c>
      <c r="C62" s="14" t="s">
        <v>20</v>
      </c>
      <c r="D62" s="10">
        <v>7</v>
      </c>
      <c r="E62" s="10">
        <v>44</v>
      </c>
      <c r="F62" s="9">
        <f t="shared" si="30"/>
        <v>1.5</v>
      </c>
      <c r="G62" s="10">
        <f t="shared" si="31"/>
        <v>37</v>
      </c>
      <c r="H62" s="133"/>
      <c r="I62" s="133"/>
      <c r="J62" s="142"/>
      <c r="K62" s="133"/>
    </row>
    <row r="63" spans="1:11" ht="21" outlineLevel="1">
      <c r="A63" s="51" t="s">
        <v>58</v>
      </c>
      <c r="B63" s="24" t="s">
        <v>180</v>
      </c>
      <c r="C63" s="14" t="s">
        <v>141</v>
      </c>
      <c r="D63" s="10">
        <v>1135</v>
      </c>
      <c r="E63" s="10">
        <v>1135</v>
      </c>
      <c r="F63" s="70">
        <f t="shared" ref="F63" si="32">IF(E63/D63&gt;150%,1.5,E63/D63)</f>
        <v>1</v>
      </c>
      <c r="G63" s="69" t="str">
        <f t="shared" ref="G63" si="33">IF(E63-D63=0,"-",E63-D63)</f>
        <v>-</v>
      </c>
      <c r="H63" s="57">
        <f>H64+H65</f>
        <v>1081713.1000000001</v>
      </c>
      <c r="I63" s="101">
        <f>I64+I65</f>
        <v>1081536.06</v>
      </c>
      <c r="J63" s="54" t="s">
        <v>6</v>
      </c>
      <c r="K63" s="55" t="s">
        <v>6</v>
      </c>
    </row>
    <row r="64" spans="1:11" ht="90" outlineLevel="1">
      <c r="A64" s="132"/>
      <c r="B64" s="40" t="s">
        <v>167</v>
      </c>
      <c r="C64" s="77" t="s">
        <v>6</v>
      </c>
      <c r="D64" s="77" t="s">
        <v>6</v>
      </c>
      <c r="E64" s="78" t="s">
        <v>6</v>
      </c>
      <c r="F64" s="79" t="s">
        <v>6</v>
      </c>
      <c r="G64" s="78" t="s">
        <v>6</v>
      </c>
      <c r="H64" s="57">
        <f>2897.6+190276.9</f>
        <v>193174.5</v>
      </c>
      <c r="I64" s="101">
        <v>193174.5</v>
      </c>
      <c r="J64" s="11">
        <f>I64/H64</f>
        <v>1</v>
      </c>
      <c r="K64" s="5">
        <f>I64-H64</f>
        <v>0</v>
      </c>
    </row>
    <row r="65" spans="1:11" ht="72" outlineLevel="1">
      <c r="A65" s="132"/>
      <c r="B65" s="40" t="s">
        <v>168</v>
      </c>
      <c r="C65" s="77" t="s">
        <v>6</v>
      </c>
      <c r="D65" s="78" t="s">
        <v>6</v>
      </c>
      <c r="E65" s="78" t="s">
        <v>6</v>
      </c>
      <c r="F65" s="79" t="s">
        <v>6</v>
      </c>
      <c r="G65" s="78" t="s">
        <v>6</v>
      </c>
      <c r="H65" s="57">
        <f>13502.4+423292.9+451743.3</f>
        <v>888538.60000000009</v>
      </c>
      <c r="I65" s="101">
        <v>888361.56</v>
      </c>
      <c r="J65" s="11">
        <f>I65/H65</f>
        <v>0.99980075148113989</v>
      </c>
      <c r="K65" s="5">
        <f>I65-H65</f>
        <v>-177.04000000003725</v>
      </c>
    </row>
    <row r="66" spans="1:11" ht="42.75" customHeight="1">
      <c r="A66" s="119" t="s">
        <v>107</v>
      </c>
      <c r="B66" s="119"/>
      <c r="C66" s="119"/>
      <c r="D66" s="119"/>
      <c r="E66" s="119"/>
      <c r="F66" s="119"/>
      <c r="G66" s="119"/>
      <c r="H66" s="6">
        <f>H67+H75+H76</f>
        <v>62700.000000000007</v>
      </c>
      <c r="I66" s="6">
        <f>I67+I75+I76</f>
        <v>62599.662479999999</v>
      </c>
      <c r="J66" s="13">
        <f>I66/H66</f>
        <v>0.9983997205741626</v>
      </c>
      <c r="K66" s="7">
        <f>I66-H66</f>
        <v>-100.33752000000823</v>
      </c>
    </row>
    <row r="67" spans="1:11" ht="38.25" customHeight="1">
      <c r="A67" s="132" t="s">
        <v>59</v>
      </c>
      <c r="B67" s="40" t="s">
        <v>181</v>
      </c>
      <c r="C67" s="14" t="s">
        <v>6</v>
      </c>
      <c r="D67" s="14" t="s">
        <v>6</v>
      </c>
      <c r="E67" s="14" t="s">
        <v>6</v>
      </c>
      <c r="F67" s="9" t="s">
        <v>6</v>
      </c>
      <c r="G67" s="10" t="s">
        <v>6</v>
      </c>
      <c r="H67" s="133">
        <f>28037.2+34560.4</f>
        <v>62597.600000000006</v>
      </c>
      <c r="I67" s="133">
        <v>62497.262479999998</v>
      </c>
      <c r="J67" s="142">
        <f>I67/H67</f>
        <v>0.99839710276432314</v>
      </c>
      <c r="K67" s="145">
        <f>I67-H67</f>
        <v>-100.33752000000823</v>
      </c>
    </row>
    <row r="68" spans="1:11" ht="46.8">
      <c r="A68" s="132"/>
      <c r="B68" s="27" t="s">
        <v>42</v>
      </c>
      <c r="C68" s="14" t="s">
        <v>25</v>
      </c>
      <c r="D68" s="10">
        <v>5340</v>
      </c>
      <c r="E68" s="10">
        <f>2996+3430</f>
        <v>6426</v>
      </c>
      <c r="F68" s="9">
        <f t="shared" ref="F68:F74" si="34">IF(E68/D68&gt;150%,1.5,E68/D68)</f>
        <v>1.2033707865168539</v>
      </c>
      <c r="G68" s="10">
        <f t="shared" ref="G68:G74" si="35">IF(E68-D68=0,"-",E68-D68)</f>
        <v>1086</v>
      </c>
      <c r="H68" s="133"/>
      <c r="I68" s="133"/>
      <c r="J68" s="142"/>
      <c r="K68" s="145"/>
    </row>
    <row r="69" spans="1:11" ht="51" customHeight="1">
      <c r="A69" s="132"/>
      <c r="B69" s="27" t="s">
        <v>43</v>
      </c>
      <c r="C69" s="14" t="s">
        <v>27</v>
      </c>
      <c r="D69" s="10">
        <v>8</v>
      </c>
      <c r="E69" s="62">
        <f>7+1</f>
        <v>8</v>
      </c>
      <c r="F69" s="9">
        <f t="shared" si="34"/>
        <v>1</v>
      </c>
      <c r="G69" s="10" t="str">
        <f t="shared" si="35"/>
        <v>-</v>
      </c>
      <c r="H69" s="133"/>
      <c r="I69" s="133"/>
      <c r="J69" s="142"/>
      <c r="K69" s="145"/>
    </row>
    <row r="70" spans="1:11" ht="31.2">
      <c r="A70" s="132"/>
      <c r="B70" s="27" t="s">
        <v>44</v>
      </c>
      <c r="C70" s="14" t="s">
        <v>20</v>
      </c>
      <c r="D70" s="10">
        <v>239</v>
      </c>
      <c r="E70" s="10">
        <v>239</v>
      </c>
      <c r="F70" s="9">
        <f t="shared" si="34"/>
        <v>1</v>
      </c>
      <c r="G70" s="10" t="str">
        <f t="shared" si="35"/>
        <v>-</v>
      </c>
      <c r="H70" s="133"/>
      <c r="I70" s="133"/>
      <c r="J70" s="142"/>
      <c r="K70" s="145"/>
    </row>
    <row r="71" spans="1:11" ht="31.2">
      <c r="A71" s="132"/>
      <c r="B71" s="27" t="s">
        <v>45</v>
      </c>
      <c r="C71" s="14" t="s">
        <v>26</v>
      </c>
      <c r="D71" s="8">
        <v>23</v>
      </c>
      <c r="E71" s="8">
        <v>23.6</v>
      </c>
      <c r="F71" s="9">
        <f t="shared" si="34"/>
        <v>1.0260869565217392</v>
      </c>
      <c r="G71" s="10">
        <f t="shared" si="35"/>
        <v>0.60000000000000142</v>
      </c>
      <c r="H71" s="133"/>
      <c r="I71" s="133"/>
      <c r="J71" s="142"/>
      <c r="K71" s="145"/>
    </row>
    <row r="72" spans="1:11" ht="68.25" customHeight="1">
      <c r="A72" s="132"/>
      <c r="B72" s="27" t="s">
        <v>46</v>
      </c>
      <c r="C72" s="14" t="s">
        <v>20</v>
      </c>
      <c r="D72" s="10">
        <v>65</v>
      </c>
      <c r="E72" s="10">
        <v>86</v>
      </c>
      <c r="F72" s="9">
        <f t="shared" si="34"/>
        <v>1.323076923076923</v>
      </c>
      <c r="G72" s="10">
        <f t="shared" si="35"/>
        <v>21</v>
      </c>
      <c r="H72" s="133"/>
      <c r="I72" s="133"/>
      <c r="J72" s="142"/>
      <c r="K72" s="145"/>
    </row>
    <row r="73" spans="1:11" ht="31.2">
      <c r="A73" s="132"/>
      <c r="B73" s="27" t="s">
        <v>48</v>
      </c>
      <c r="C73" s="14" t="s">
        <v>20</v>
      </c>
      <c r="D73" s="10">
        <v>470</v>
      </c>
      <c r="E73" s="10">
        <v>480</v>
      </c>
      <c r="F73" s="9">
        <f t="shared" si="34"/>
        <v>1.0212765957446808</v>
      </c>
      <c r="G73" s="10">
        <f t="shared" si="35"/>
        <v>10</v>
      </c>
      <c r="H73" s="133"/>
      <c r="I73" s="133"/>
      <c r="J73" s="142"/>
      <c r="K73" s="145"/>
    </row>
    <row r="74" spans="1:11" ht="36.75" customHeight="1">
      <c r="A74" s="132"/>
      <c r="B74" s="27" t="s">
        <v>47</v>
      </c>
      <c r="C74" s="14" t="s">
        <v>20</v>
      </c>
      <c r="D74" s="10">
        <v>62</v>
      </c>
      <c r="E74" s="58">
        <v>86</v>
      </c>
      <c r="F74" s="9">
        <f t="shared" si="34"/>
        <v>1.3870967741935485</v>
      </c>
      <c r="G74" s="10">
        <f t="shared" si="35"/>
        <v>24</v>
      </c>
      <c r="H74" s="133"/>
      <c r="I74" s="133"/>
      <c r="J74" s="142"/>
      <c r="K74" s="145"/>
    </row>
    <row r="75" spans="1:11" s="17" customFormat="1" ht="54">
      <c r="A75" s="51" t="s">
        <v>60</v>
      </c>
      <c r="B75" s="40" t="s">
        <v>185</v>
      </c>
      <c r="C75" s="14" t="s">
        <v>6</v>
      </c>
      <c r="D75" s="10" t="s">
        <v>6</v>
      </c>
      <c r="E75" s="10" t="s">
        <v>6</v>
      </c>
      <c r="F75" s="9" t="s">
        <v>6</v>
      </c>
      <c r="G75" s="10" t="s">
        <v>6</v>
      </c>
      <c r="H75" s="57">
        <f>27.9</f>
        <v>27.9</v>
      </c>
      <c r="I75" s="57">
        <v>27.9</v>
      </c>
      <c r="J75" s="11">
        <f>I75/H75</f>
        <v>1</v>
      </c>
      <c r="K75" s="5">
        <f>I75-H75</f>
        <v>0</v>
      </c>
    </row>
    <row r="76" spans="1:11" s="17" customFormat="1" ht="230.25" customHeight="1" collapsed="1">
      <c r="A76" s="51" t="s">
        <v>61</v>
      </c>
      <c r="B76" s="40" t="s">
        <v>182</v>
      </c>
      <c r="C76" s="14" t="s">
        <v>20</v>
      </c>
      <c r="D76" s="69">
        <v>1</v>
      </c>
      <c r="E76" s="69">
        <v>1</v>
      </c>
      <c r="F76" s="70">
        <f t="shared" ref="F76" si="36">IF(E76/D76&gt;150%,1.5,E76/D76)</f>
        <v>1</v>
      </c>
      <c r="G76" s="10" t="s">
        <v>6</v>
      </c>
      <c r="H76" s="57">
        <v>74.5</v>
      </c>
      <c r="I76" s="57">
        <v>74.5</v>
      </c>
      <c r="J76" s="57" t="s">
        <v>6</v>
      </c>
      <c r="K76" s="57" t="s">
        <v>6</v>
      </c>
    </row>
    <row r="77" spans="1:11" s="17" customFormat="1" ht="99" hidden="1" customHeight="1" outlineLevel="1">
      <c r="A77" s="51"/>
      <c r="B77" s="24" t="s">
        <v>183</v>
      </c>
      <c r="C77" s="14" t="s">
        <v>20</v>
      </c>
      <c r="D77" s="69"/>
      <c r="E77" s="69"/>
      <c r="F77" s="70"/>
      <c r="G77" s="10"/>
      <c r="H77" s="10"/>
      <c r="I77" s="10"/>
      <c r="J77" s="10"/>
      <c r="K77" s="10"/>
    </row>
    <row r="78" spans="1:11" s="17" customFormat="1" ht="39" hidden="1" customHeight="1" outlineLevel="1">
      <c r="A78" s="51"/>
      <c r="B78" s="24" t="s">
        <v>184</v>
      </c>
      <c r="C78" s="14" t="s">
        <v>20</v>
      </c>
      <c r="D78" s="10"/>
      <c r="E78" s="10"/>
      <c r="F78" s="9"/>
      <c r="G78" s="10"/>
      <c r="H78" s="57"/>
      <c r="I78" s="57"/>
      <c r="J78" s="11"/>
      <c r="K78" s="5"/>
    </row>
    <row r="79" spans="1:11" ht="95.25" hidden="1" customHeight="1" outlineLevel="1">
      <c r="A79" s="51"/>
      <c r="B79" s="24" t="s">
        <v>186</v>
      </c>
      <c r="C79" s="14"/>
      <c r="D79" s="10"/>
      <c r="E79" s="10"/>
      <c r="F79" s="9"/>
      <c r="G79" s="10"/>
      <c r="H79" s="57"/>
      <c r="I79" s="57"/>
      <c r="J79" s="11"/>
      <c r="K79" s="5"/>
    </row>
    <row r="80" spans="1:11" ht="36" hidden="1" outlineLevel="1">
      <c r="A80" s="51"/>
      <c r="B80" s="24" t="s">
        <v>187</v>
      </c>
      <c r="C80" s="14"/>
      <c r="D80" s="10"/>
      <c r="E80" s="10"/>
      <c r="F80" s="9"/>
      <c r="G80" s="10"/>
      <c r="H80" s="8"/>
      <c r="I80" s="8"/>
      <c r="J80" s="11"/>
      <c r="K80" s="41"/>
    </row>
    <row r="81" spans="1:11" ht="54" hidden="1" outlineLevel="1">
      <c r="A81" s="51"/>
      <c r="B81" s="24" t="s">
        <v>188</v>
      </c>
      <c r="C81" s="14"/>
      <c r="D81" s="10"/>
      <c r="E81" s="10"/>
      <c r="F81" s="9"/>
      <c r="G81" s="10"/>
      <c r="H81" s="8"/>
      <c r="I81" s="8"/>
      <c r="J81" s="11"/>
      <c r="K81" s="41"/>
    </row>
    <row r="82" spans="1:11" ht="78" hidden="1" customHeight="1" outlineLevel="1">
      <c r="A82" s="51"/>
      <c r="B82" s="24" t="s">
        <v>189</v>
      </c>
      <c r="C82" s="14"/>
      <c r="D82" s="10"/>
      <c r="E82" s="10"/>
      <c r="F82" s="9"/>
      <c r="G82" s="10"/>
      <c r="H82" s="8"/>
      <c r="I82" s="8"/>
      <c r="J82" s="11"/>
      <c r="K82" s="41"/>
    </row>
    <row r="83" spans="1:11" ht="114" hidden="1" customHeight="1" outlineLevel="1">
      <c r="A83" s="51"/>
      <c r="B83" s="24" t="s">
        <v>190</v>
      </c>
      <c r="C83" s="14"/>
      <c r="D83" s="10"/>
      <c r="E83" s="58"/>
      <c r="F83" s="9"/>
      <c r="G83" s="10"/>
      <c r="H83" s="8"/>
      <c r="I83" s="8"/>
      <c r="J83" s="11"/>
      <c r="K83" s="41"/>
    </row>
    <row r="84" spans="1:11" ht="135.75" hidden="1" customHeight="1" outlineLevel="1">
      <c r="A84" s="51"/>
      <c r="B84" s="24" t="s">
        <v>191</v>
      </c>
      <c r="C84" s="14"/>
      <c r="D84" s="8"/>
      <c r="E84" s="8"/>
      <c r="F84" s="9"/>
      <c r="G84" s="8"/>
      <c r="H84" s="8"/>
      <c r="I84" s="8"/>
      <c r="J84" s="11"/>
      <c r="K84" s="41"/>
    </row>
    <row r="85" spans="1:11" ht="40.5" customHeight="1">
      <c r="A85" s="119" t="s">
        <v>108</v>
      </c>
      <c r="B85" s="119"/>
      <c r="C85" s="119"/>
      <c r="D85" s="119"/>
      <c r="E85" s="119"/>
      <c r="F85" s="119"/>
      <c r="G85" s="119"/>
      <c r="H85" s="6">
        <f>SUM(H86:H89)</f>
        <v>176131.7</v>
      </c>
      <c r="I85" s="6">
        <f>SUM(I86:I89)</f>
        <v>175872.46729999999</v>
      </c>
      <c r="J85" s="13">
        <f t="shared" ref="J85:J88" si="37">I85/H85</f>
        <v>0.99852818828183665</v>
      </c>
      <c r="K85" s="7">
        <f t="shared" ref="K85:K88" si="38">I85-H85</f>
        <v>-259.23270000002231</v>
      </c>
    </row>
    <row r="86" spans="1:11" ht="72" outlineLevel="1">
      <c r="A86" s="51" t="s">
        <v>52</v>
      </c>
      <c r="B86" s="40" t="s">
        <v>193</v>
      </c>
      <c r="C86" s="14" t="s">
        <v>20</v>
      </c>
      <c r="D86" s="14">
        <v>1</v>
      </c>
      <c r="E86" s="14">
        <v>1</v>
      </c>
      <c r="F86" s="9">
        <f t="shared" ref="F86" si="39">IF(E86/D86&gt;150%,1.5,E86/D86)</f>
        <v>1</v>
      </c>
      <c r="G86" s="10" t="str">
        <f t="shared" ref="G86" si="40">IF(E86-D86=0,"-",E86-D86)</f>
        <v>-</v>
      </c>
      <c r="H86" s="64">
        <f>29583.7+6951.4</f>
        <v>36535.1</v>
      </c>
      <c r="I86" s="8">
        <f>29353.59794+6947.5+3.735</f>
        <v>36304.83294</v>
      </c>
      <c r="J86" s="65">
        <f t="shared" si="37"/>
        <v>0.99369737430580463</v>
      </c>
      <c r="K86" s="66">
        <f t="shared" si="38"/>
        <v>-230.26705999999831</v>
      </c>
    </row>
    <row r="87" spans="1:11" ht="54" outlineLevel="1">
      <c r="A87" s="63"/>
      <c r="B87" s="40" t="s">
        <v>194</v>
      </c>
      <c r="C87" s="68" t="s">
        <v>20</v>
      </c>
      <c r="D87" s="68">
        <v>6</v>
      </c>
      <c r="E87" s="68">
        <v>6</v>
      </c>
      <c r="F87" s="70">
        <f t="shared" ref="F87" si="41">IF(E87/D87&gt;150%,1.5,E87/D87)</f>
        <v>1</v>
      </c>
      <c r="G87" s="69" t="str">
        <f t="shared" ref="G87" si="42">IF(E87-D87=0,"-",E87-D87)</f>
        <v>-</v>
      </c>
      <c r="H87" s="64">
        <v>300</v>
      </c>
      <c r="I87" s="64">
        <v>299.91881000000001</v>
      </c>
      <c r="J87" s="65">
        <f t="shared" si="37"/>
        <v>0.99972936666666667</v>
      </c>
      <c r="K87" s="66">
        <f t="shared" si="38"/>
        <v>-8.1189999999992324E-2</v>
      </c>
    </row>
    <row r="88" spans="1:11" ht="36" outlineLevel="1">
      <c r="A88" s="63"/>
      <c r="B88" s="40" t="s">
        <v>195</v>
      </c>
      <c r="C88" s="68" t="s">
        <v>6</v>
      </c>
      <c r="D88" s="68" t="s">
        <v>6</v>
      </c>
      <c r="E88" s="68" t="s">
        <v>6</v>
      </c>
      <c r="F88" s="70" t="s">
        <v>6</v>
      </c>
      <c r="G88" s="69" t="s">
        <v>6</v>
      </c>
      <c r="H88" s="129">
        <f>80242.6+3380.4+55673.6</f>
        <v>139296.6</v>
      </c>
      <c r="I88" s="129">
        <f>3380.32243+55673.6+66046.15002+14167.6431</f>
        <v>139267.71554999999</v>
      </c>
      <c r="J88" s="139">
        <f t="shared" si="37"/>
        <v>0.99979264066746776</v>
      </c>
      <c r="K88" s="136">
        <f t="shared" si="38"/>
        <v>-28.884450000012293</v>
      </c>
    </row>
    <row r="89" spans="1:11" ht="42.75" customHeight="1" outlineLevel="1">
      <c r="A89" s="63"/>
      <c r="B89" s="73" t="s">
        <v>196</v>
      </c>
      <c r="C89" s="68" t="s">
        <v>25</v>
      </c>
      <c r="D89" s="68">
        <v>872</v>
      </c>
      <c r="E89" s="68">
        <v>870</v>
      </c>
      <c r="F89" s="70">
        <f t="shared" ref="F89:F92" si="43">IF(E89/D89&gt;150%,1.5,E89/D89)</f>
        <v>0.99770642201834858</v>
      </c>
      <c r="G89" s="69">
        <f t="shared" ref="G89:G92" si="44">IF(E89-D89=0,"-",E89-D89)</f>
        <v>-2</v>
      </c>
      <c r="H89" s="130"/>
      <c r="I89" s="130"/>
      <c r="J89" s="140"/>
      <c r="K89" s="137"/>
    </row>
    <row r="90" spans="1:11" ht="54" outlineLevel="1">
      <c r="A90" s="63"/>
      <c r="B90" s="73" t="s">
        <v>198</v>
      </c>
      <c r="C90" s="68" t="s">
        <v>25</v>
      </c>
      <c r="D90" s="68">
        <v>77</v>
      </c>
      <c r="E90" s="68">
        <v>77</v>
      </c>
      <c r="F90" s="70">
        <f t="shared" si="43"/>
        <v>1</v>
      </c>
      <c r="G90" s="69" t="str">
        <f t="shared" si="44"/>
        <v>-</v>
      </c>
      <c r="H90" s="130"/>
      <c r="I90" s="130"/>
      <c r="J90" s="140"/>
      <c r="K90" s="137"/>
    </row>
    <row r="91" spans="1:11" ht="42.75" customHeight="1" outlineLevel="1">
      <c r="A91" s="63"/>
      <c r="B91" s="73" t="s">
        <v>197</v>
      </c>
      <c r="C91" s="68" t="s">
        <v>25</v>
      </c>
      <c r="D91" s="68">
        <v>160</v>
      </c>
      <c r="E91" s="68">
        <v>152</v>
      </c>
      <c r="F91" s="70">
        <f t="shared" si="43"/>
        <v>0.95</v>
      </c>
      <c r="G91" s="69">
        <f t="shared" si="44"/>
        <v>-8</v>
      </c>
      <c r="H91" s="130"/>
      <c r="I91" s="130"/>
      <c r="J91" s="140"/>
      <c r="K91" s="137"/>
    </row>
    <row r="92" spans="1:11" ht="126" outlineLevel="1">
      <c r="A92" s="63"/>
      <c r="B92" s="73" t="s">
        <v>199</v>
      </c>
      <c r="C92" s="68" t="s">
        <v>26</v>
      </c>
      <c r="D92" s="68">
        <v>32.6</v>
      </c>
      <c r="E92" s="68">
        <v>34.4</v>
      </c>
      <c r="F92" s="70">
        <f t="shared" si="43"/>
        <v>1.0552147239263803</v>
      </c>
      <c r="G92" s="69">
        <f t="shared" si="44"/>
        <v>1.7999999999999972</v>
      </c>
      <c r="H92" s="131"/>
      <c r="I92" s="131"/>
      <c r="J92" s="141"/>
      <c r="K92" s="138"/>
    </row>
    <row r="93" spans="1:11" ht="42.75" customHeight="1">
      <c r="A93" s="119" t="s">
        <v>200</v>
      </c>
      <c r="B93" s="119"/>
      <c r="C93" s="119"/>
      <c r="D93" s="119"/>
      <c r="E93" s="119"/>
      <c r="F93" s="119"/>
      <c r="G93" s="119"/>
      <c r="H93" s="6">
        <f>H94</f>
        <v>94520.540000000008</v>
      </c>
      <c r="I93" s="6">
        <f>I94</f>
        <v>94465.418450000012</v>
      </c>
      <c r="J93" s="65">
        <f t="shared" ref="J93:J94" si="45">I93/H93</f>
        <v>0.99941682992924086</v>
      </c>
      <c r="K93" s="66">
        <f t="shared" ref="K93:K94" si="46">I93-H93</f>
        <v>-55.121549999996205</v>
      </c>
    </row>
    <row r="94" spans="1:11" ht="91.5" customHeight="1">
      <c r="A94" s="63"/>
      <c r="B94" s="40" t="s">
        <v>203</v>
      </c>
      <c r="C94" s="68" t="s">
        <v>20</v>
      </c>
      <c r="D94" s="68">
        <v>241</v>
      </c>
      <c r="E94" s="68">
        <v>241</v>
      </c>
      <c r="F94" s="70">
        <f t="shared" ref="F94" si="47">IF(E94/D94&gt;150%,1.5,E94/D94)</f>
        <v>1</v>
      </c>
      <c r="G94" s="69" t="str">
        <f t="shared" ref="G94" si="48">IF(E94-D94=0,"-",E94-D94)</f>
        <v>-</v>
      </c>
      <c r="H94" s="83">
        <f>94134.489+8.451+377.6</f>
        <v>94520.540000000008</v>
      </c>
      <c r="I94" s="83">
        <f>94079.36745+8.451+377.6</f>
        <v>94465.418450000012</v>
      </c>
      <c r="J94" s="65">
        <f t="shared" si="45"/>
        <v>0.99941682992924086</v>
      </c>
      <c r="K94" s="66">
        <f t="shared" si="46"/>
        <v>-55.121549999996205</v>
      </c>
    </row>
    <row r="95" spans="1:11" ht="20.399999999999999">
      <c r="A95" s="151" t="s">
        <v>49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</row>
    <row r="96" spans="1:11" ht="54">
      <c r="A96" s="51" t="s">
        <v>28</v>
      </c>
      <c r="B96" s="24" t="s">
        <v>64</v>
      </c>
      <c r="C96" s="14" t="s">
        <v>50</v>
      </c>
      <c r="D96" s="14">
        <v>99</v>
      </c>
      <c r="E96" s="14">
        <v>100</v>
      </c>
      <c r="F96" s="9">
        <f t="shared" ref="F96:F110" si="49">IF(E96/D96&gt;150%,1.5,E96/D96)</f>
        <v>1.0101010101010102</v>
      </c>
      <c r="G96" s="10">
        <f t="shared" ref="G96:G110" si="50">IF(E96-D96=0,"-",E96-D96)</f>
        <v>1</v>
      </c>
      <c r="H96" s="28" t="s">
        <v>6</v>
      </c>
      <c r="I96" s="28" t="s">
        <v>6</v>
      </c>
      <c r="J96" s="29" t="s">
        <v>6</v>
      </c>
      <c r="K96" s="30" t="s">
        <v>6</v>
      </c>
    </row>
    <row r="97" spans="1:11" ht="61.5" customHeight="1">
      <c r="A97" s="51" t="s">
        <v>29</v>
      </c>
      <c r="B97" s="24" t="s">
        <v>65</v>
      </c>
      <c r="C97" s="14" t="s">
        <v>50</v>
      </c>
      <c r="D97" s="14">
        <v>100</v>
      </c>
      <c r="E97" s="14">
        <v>100</v>
      </c>
      <c r="F97" s="9">
        <f t="shared" si="49"/>
        <v>1</v>
      </c>
      <c r="G97" s="10" t="str">
        <f t="shared" si="50"/>
        <v>-</v>
      </c>
      <c r="H97" s="28" t="s">
        <v>6</v>
      </c>
      <c r="I97" s="28" t="s">
        <v>6</v>
      </c>
      <c r="J97" s="29" t="s">
        <v>6</v>
      </c>
      <c r="K97" s="30" t="s">
        <v>6</v>
      </c>
    </row>
    <row r="98" spans="1:11" ht="94.5" customHeight="1">
      <c r="A98" s="51" t="s">
        <v>51</v>
      </c>
      <c r="B98" s="24" t="s">
        <v>148</v>
      </c>
      <c r="C98" s="14" t="s">
        <v>50</v>
      </c>
      <c r="D98" s="14">
        <v>1.58</v>
      </c>
      <c r="E98" s="14">
        <v>1.4</v>
      </c>
      <c r="F98" s="9">
        <f t="shared" si="49"/>
        <v>0.88607594936708856</v>
      </c>
      <c r="G98" s="23">
        <f t="shared" si="50"/>
        <v>-0.18000000000000016</v>
      </c>
      <c r="H98" s="28" t="s">
        <v>6</v>
      </c>
      <c r="I98" s="28" t="s">
        <v>6</v>
      </c>
      <c r="J98" s="29" t="s">
        <v>6</v>
      </c>
      <c r="K98" s="30" t="s">
        <v>6</v>
      </c>
    </row>
    <row r="99" spans="1:11" ht="36">
      <c r="A99" s="51" t="s">
        <v>52</v>
      </c>
      <c r="B99" s="24" t="s">
        <v>66</v>
      </c>
      <c r="C99" s="14" t="s">
        <v>50</v>
      </c>
      <c r="D99" s="14">
        <v>23.5</v>
      </c>
      <c r="E99" s="14">
        <v>27.2</v>
      </c>
      <c r="F99" s="9">
        <f t="shared" si="49"/>
        <v>1.1574468085106382</v>
      </c>
      <c r="G99" s="8">
        <f t="shared" si="50"/>
        <v>3.6999999999999993</v>
      </c>
      <c r="H99" s="28" t="s">
        <v>6</v>
      </c>
      <c r="I99" s="28" t="s">
        <v>6</v>
      </c>
      <c r="J99" s="29" t="s">
        <v>6</v>
      </c>
      <c r="K99" s="30" t="s">
        <v>6</v>
      </c>
    </row>
    <row r="100" spans="1:11" ht="54">
      <c r="A100" s="51" t="s">
        <v>53</v>
      </c>
      <c r="B100" s="24" t="s">
        <v>67</v>
      </c>
      <c r="C100" s="14" t="s">
        <v>50</v>
      </c>
      <c r="D100" s="14">
        <v>100</v>
      </c>
      <c r="E100" s="14">
        <v>100</v>
      </c>
      <c r="F100" s="9">
        <f t="shared" si="49"/>
        <v>1</v>
      </c>
      <c r="G100" s="10" t="str">
        <f t="shared" si="50"/>
        <v>-</v>
      </c>
      <c r="H100" s="28" t="s">
        <v>6</v>
      </c>
      <c r="I100" s="28" t="s">
        <v>6</v>
      </c>
      <c r="J100" s="29" t="s">
        <v>6</v>
      </c>
      <c r="K100" s="30" t="s">
        <v>6</v>
      </c>
    </row>
    <row r="101" spans="1:11" ht="76.5" customHeight="1">
      <c r="A101" s="51" t="s">
        <v>54</v>
      </c>
      <c r="B101" s="24" t="s">
        <v>68</v>
      </c>
      <c r="C101" s="14" t="s">
        <v>50</v>
      </c>
      <c r="D101" s="14">
        <v>100</v>
      </c>
      <c r="E101" s="14">
        <v>100</v>
      </c>
      <c r="F101" s="9">
        <f t="shared" si="49"/>
        <v>1</v>
      </c>
      <c r="G101" s="10" t="str">
        <f t="shared" si="50"/>
        <v>-</v>
      </c>
      <c r="H101" s="28" t="s">
        <v>6</v>
      </c>
      <c r="I101" s="28" t="s">
        <v>6</v>
      </c>
      <c r="J101" s="29" t="s">
        <v>6</v>
      </c>
      <c r="K101" s="30" t="s">
        <v>6</v>
      </c>
    </row>
    <row r="102" spans="1:11" ht="39" customHeight="1">
      <c r="A102" s="51" t="s">
        <v>55</v>
      </c>
      <c r="B102" s="24" t="s">
        <v>69</v>
      </c>
      <c r="C102" s="14" t="s">
        <v>50</v>
      </c>
      <c r="D102" s="14">
        <v>100</v>
      </c>
      <c r="E102" s="14">
        <v>98.7</v>
      </c>
      <c r="F102" s="9">
        <f t="shared" si="49"/>
        <v>0.98699999999999999</v>
      </c>
      <c r="G102" s="8">
        <f t="shared" si="50"/>
        <v>-1.2999999999999972</v>
      </c>
      <c r="H102" s="28" t="s">
        <v>6</v>
      </c>
      <c r="I102" s="28" t="s">
        <v>6</v>
      </c>
      <c r="J102" s="29" t="s">
        <v>6</v>
      </c>
      <c r="K102" s="30" t="s">
        <v>6</v>
      </c>
    </row>
    <row r="103" spans="1:11" ht="72">
      <c r="A103" s="51" t="s">
        <v>56</v>
      </c>
      <c r="B103" s="24" t="s">
        <v>70</v>
      </c>
      <c r="C103" s="14" t="s">
        <v>50</v>
      </c>
      <c r="D103" s="14">
        <v>84</v>
      </c>
      <c r="E103" s="14">
        <v>84</v>
      </c>
      <c r="F103" s="9">
        <f t="shared" si="49"/>
        <v>1</v>
      </c>
      <c r="G103" s="10" t="str">
        <f t="shared" si="50"/>
        <v>-</v>
      </c>
      <c r="H103" s="28" t="s">
        <v>6</v>
      </c>
      <c r="I103" s="28" t="s">
        <v>6</v>
      </c>
      <c r="J103" s="29" t="s">
        <v>6</v>
      </c>
      <c r="K103" s="30" t="s">
        <v>6</v>
      </c>
    </row>
    <row r="104" spans="1:11" ht="54">
      <c r="A104" s="51" t="s">
        <v>57</v>
      </c>
      <c r="B104" s="24" t="s">
        <v>71</v>
      </c>
      <c r="C104" s="14" t="s">
        <v>50</v>
      </c>
      <c r="D104" s="14">
        <v>90.5</v>
      </c>
      <c r="E104" s="14">
        <v>91.8</v>
      </c>
      <c r="F104" s="9">
        <f t="shared" si="49"/>
        <v>1.0143646408839779</v>
      </c>
      <c r="G104" s="8">
        <f t="shared" si="50"/>
        <v>1.2999999999999972</v>
      </c>
      <c r="H104" s="28" t="s">
        <v>6</v>
      </c>
      <c r="I104" s="28" t="s">
        <v>6</v>
      </c>
      <c r="J104" s="29" t="s">
        <v>6</v>
      </c>
      <c r="K104" s="30" t="s">
        <v>6</v>
      </c>
    </row>
    <row r="105" spans="1:11" ht="54">
      <c r="A105" s="51" t="s">
        <v>58</v>
      </c>
      <c r="B105" s="24" t="s">
        <v>72</v>
      </c>
      <c r="C105" s="14" t="s">
        <v>50</v>
      </c>
      <c r="D105" s="14">
        <v>100</v>
      </c>
      <c r="E105" s="14">
        <v>100</v>
      </c>
      <c r="F105" s="9">
        <f t="shared" si="49"/>
        <v>1</v>
      </c>
      <c r="G105" s="61" t="str">
        <f t="shared" si="50"/>
        <v>-</v>
      </c>
      <c r="H105" s="28" t="s">
        <v>6</v>
      </c>
      <c r="I105" s="28" t="s">
        <v>6</v>
      </c>
      <c r="J105" s="29" t="s">
        <v>6</v>
      </c>
      <c r="K105" s="30" t="s">
        <v>6</v>
      </c>
    </row>
    <row r="106" spans="1:11" ht="54">
      <c r="A106" s="51" t="s">
        <v>59</v>
      </c>
      <c r="B106" s="24" t="s">
        <v>73</v>
      </c>
      <c r="C106" s="14" t="s">
        <v>50</v>
      </c>
      <c r="D106" s="14">
        <v>29</v>
      </c>
      <c r="E106" s="14">
        <v>26.2</v>
      </c>
      <c r="F106" s="9">
        <f t="shared" si="49"/>
        <v>0.90344827586206899</v>
      </c>
      <c r="G106" s="8">
        <f t="shared" si="50"/>
        <v>-2.8000000000000007</v>
      </c>
      <c r="H106" s="28" t="s">
        <v>6</v>
      </c>
      <c r="I106" s="28" t="s">
        <v>6</v>
      </c>
      <c r="J106" s="29" t="s">
        <v>6</v>
      </c>
      <c r="K106" s="30" t="s">
        <v>6</v>
      </c>
    </row>
    <row r="107" spans="1:11" ht="36">
      <c r="A107" s="51" t="s">
        <v>60</v>
      </c>
      <c r="B107" s="24" t="s">
        <v>74</v>
      </c>
      <c r="C107" s="14" t="s">
        <v>50</v>
      </c>
      <c r="D107" s="14">
        <v>100</v>
      </c>
      <c r="E107" s="111">
        <v>100</v>
      </c>
      <c r="F107" s="9">
        <f t="shared" si="49"/>
        <v>1</v>
      </c>
      <c r="G107" s="10" t="str">
        <f t="shared" si="50"/>
        <v>-</v>
      </c>
      <c r="H107" s="28" t="s">
        <v>6</v>
      </c>
      <c r="I107" s="28" t="s">
        <v>6</v>
      </c>
      <c r="J107" s="29" t="s">
        <v>6</v>
      </c>
      <c r="K107" s="30" t="s">
        <v>6</v>
      </c>
    </row>
    <row r="108" spans="1:11" ht="93.75" customHeight="1">
      <c r="A108" s="51" t="s">
        <v>61</v>
      </c>
      <c r="B108" s="24" t="s">
        <v>75</v>
      </c>
      <c r="C108" s="14" t="s">
        <v>50</v>
      </c>
      <c r="D108" s="14">
        <v>99</v>
      </c>
      <c r="E108" s="14">
        <v>99</v>
      </c>
      <c r="F108" s="9">
        <f t="shared" si="49"/>
        <v>1</v>
      </c>
      <c r="G108" s="10" t="str">
        <f t="shared" si="50"/>
        <v>-</v>
      </c>
      <c r="H108" s="28" t="s">
        <v>6</v>
      </c>
      <c r="I108" s="28" t="s">
        <v>6</v>
      </c>
      <c r="J108" s="29" t="s">
        <v>6</v>
      </c>
      <c r="K108" s="30" t="s">
        <v>6</v>
      </c>
    </row>
    <row r="109" spans="1:11" ht="38.25" customHeight="1">
      <c r="A109" s="51" t="s">
        <v>62</v>
      </c>
      <c r="B109" s="24" t="s">
        <v>63</v>
      </c>
      <c r="C109" s="14" t="s">
        <v>50</v>
      </c>
      <c r="D109" s="14">
        <v>100</v>
      </c>
      <c r="E109" s="14">
        <v>100</v>
      </c>
      <c r="F109" s="9">
        <f t="shared" si="49"/>
        <v>1</v>
      </c>
      <c r="G109" s="10" t="str">
        <f t="shared" si="50"/>
        <v>-</v>
      </c>
      <c r="H109" s="28" t="s">
        <v>6</v>
      </c>
      <c r="I109" s="28" t="s">
        <v>6</v>
      </c>
      <c r="J109" s="29" t="s">
        <v>6</v>
      </c>
      <c r="K109" s="30" t="s">
        <v>6</v>
      </c>
    </row>
    <row r="110" spans="1:11" ht="38.25" customHeight="1">
      <c r="A110" s="51" t="s">
        <v>109</v>
      </c>
      <c r="B110" s="24" t="s">
        <v>110</v>
      </c>
      <c r="C110" s="14" t="s">
        <v>50</v>
      </c>
      <c r="D110" s="71">
        <v>11.2</v>
      </c>
      <c r="E110" s="14">
        <v>8.0670000000000002</v>
      </c>
      <c r="F110" s="9">
        <f t="shared" si="49"/>
        <v>0.72026785714285724</v>
      </c>
      <c r="G110" s="8">
        <f t="shared" si="50"/>
        <v>-3.1329999999999991</v>
      </c>
      <c r="H110" s="28"/>
      <c r="I110" s="28"/>
      <c r="J110" s="29"/>
      <c r="K110" s="30"/>
    </row>
    <row r="111" spans="1:11" ht="38.25" customHeight="1">
      <c r="A111" s="63" t="s">
        <v>125</v>
      </c>
      <c r="B111" s="24" t="s">
        <v>202</v>
      </c>
      <c r="C111" s="68" t="s">
        <v>50</v>
      </c>
      <c r="D111" s="71">
        <v>70.7</v>
      </c>
      <c r="E111" s="68">
        <v>30.2</v>
      </c>
      <c r="F111" s="70">
        <f t="shared" ref="F111" si="51">IF(E111/D111&gt;150%,1.5,E111/D111)</f>
        <v>0.42715700141442714</v>
      </c>
      <c r="G111" s="8">
        <f t="shared" ref="G111" si="52">IF(E111-D111=0,"-",E111-D111)</f>
        <v>-40.5</v>
      </c>
      <c r="H111" s="28"/>
      <c r="I111" s="28"/>
      <c r="J111" s="29"/>
      <c r="K111" s="30"/>
    </row>
    <row r="112" spans="1:11" s="20" customFormat="1" ht="20.399999999999999">
      <c r="A112" s="4"/>
      <c r="B112" s="56" t="s">
        <v>5</v>
      </c>
      <c r="C112" s="18" t="s">
        <v>6</v>
      </c>
      <c r="D112" s="18" t="s">
        <v>6</v>
      </c>
      <c r="E112" s="18" t="s">
        <v>6</v>
      </c>
      <c r="F112" s="22">
        <f>AVERAGE(F96:F111)</f>
        <v>0.94411634645512921</v>
      </c>
      <c r="G112" s="19" t="s">
        <v>6</v>
      </c>
      <c r="H112" s="6">
        <f>H10+H30+H66+H85+H93</f>
        <v>7761874.040000001</v>
      </c>
      <c r="I112" s="6">
        <f>I10+I30+I66+I85+I93</f>
        <v>7727014.8396799993</v>
      </c>
      <c r="J112" s="13">
        <f>I112/H112</f>
        <v>0.99550891960622412</v>
      </c>
      <c r="K112" s="6">
        <f>I112-H112</f>
        <v>-34859.200320001692</v>
      </c>
    </row>
    <row r="113" spans="1:11" s="20" customFormat="1" ht="20.399999999999999">
      <c r="A113" s="4"/>
      <c r="B113" s="144" t="s">
        <v>159</v>
      </c>
      <c r="C113" s="144"/>
      <c r="D113" s="144"/>
      <c r="E113" s="144"/>
      <c r="F113" s="144"/>
      <c r="G113" s="144"/>
      <c r="H113" s="6">
        <v>7761874</v>
      </c>
      <c r="I113" s="6">
        <f>I112</f>
        <v>7727014.8396799993</v>
      </c>
      <c r="J113" s="13">
        <f>I113/H113</f>
        <v>0.99550892473647468</v>
      </c>
      <c r="K113" s="6">
        <f>I113-H113</f>
        <v>-34859.160320000723</v>
      </c>
    </row>
    <row r="114" spans="1:11" s="20" customFormat="1" ht="25.5" customHeight="1">
      <c r="A114" s="4"/>
      <c r="B114" s="119" t="s">
        <v>22</v>
      </c>
      <c r="C114" s="119"/>
      <c r="D114" s="119"/>
      <c r="E114" s="21">
        <f>F112/J113</f>
        <v>0.94837557252944793</v>
      </c>
      <c r="F114" s="150" t="str">
        <f>IF(E114&gt;=80%,"Программа реализуется эффективно","Программа реализуется неэффективно")</f>
        <v>Программа реализуется эффективно</v>
      </c>
      <c r="G114" s="150"/>
      <c r="H114" s="150"/>
      <c r="I114" s="150"/>
      <c r="J114" s="150"/>
      <c r="K114" s="150"/>
    </row>
  </sheetData>
  <sheetProtection formatCells="0" formatColumns="0" formatRows="0" insertColumns="0" insertRows="0" deleteRows="0" selectLockedCells="1" sort="0" autoFilter="0" pivotTables="0" selectUnlockedCells="1"/>
  <mergeCells count="74">
    <mergeCell ref="K55:K59"/>
    <mergeCell ref="K26:K28"/>
    <mergeCell ref="J26:J28"/>
    <mergeCell ref="I26:I28"/>
    <mergeCell ref="H26:H28"/>
    <mergeCell ref="H50:H52"/>
    <mergeCell ref="I50:I52"/>
    <mergeCell ref="J50:J52"/>
    <mergeCell ref="K50:K52"/>
    <mergeCell ref="J22:J24"/>
    <mergeCell ref="A55:A59"/>
    <mergeCell ref="H55:H59"/>
    <mergeCell ref="I55:I59"/>
    <mergeCell ref="J55:J59"/>
    <mergeCell ref="A11:A15"/>
    <mergeCell ref="H11:H15"/>
    <mergeCell ref="I11:I15"/>
    <mergeCell ref="J11:J15"/>
    <mergeCell ref="G17:G18"/>
    <mergeCell ref="K11:K15"/>
    <mergeCell ref="B113:G113"/>
    <mergeCell ref="B114:D114"/>
    <mergeCell ref="F114:K114"/>
    <mergeCell ref="A66:G66"/>
    <mergeCell ref="K67:K74"/>
    <mergeCell ref="I67:I74"/>
    <mergeCell ref="H67:H74"/>
    <mergeCell ref="J67:J74"/>
    <mergeCell ref="A67:A74"/>
    <mergeCell ref="A95:K95"/>
    <mergeCell ref="A85:G85"/>
    <mergeCell ref="C17:C18"/>
    <mergeCell ref="D17:D18"/>
    <mergeCell ref="E17:E18"/>
    <mergeCell ref="F17:F18"/>
    <mergeCell ref="A1:K1"/>
    <mergeCell ref="A2:K2"/>
    <mergeCell ref="A3:C3"/>
    <mergeCell ref="A4:B4"/>
    <mergeCell ref="A5:K5"/>
    <mergeCell ref="A7:K7"/>
    <mergeCell ref="A31:A34"/>
    <mergeCell ref="A10:G10"/>
    <mergeCell ref="A30:G30"/>
    <mergeCell ref="I31:I34"/>
    <mergeCell ref="H31:H34"/>
    <mergeCell ref="K31:K34"/>
    <mergeCell ref="J31:J34"/>
    <mergeCell ref="A17:A18"/>
    <mergeCell ref="H17:H18"/>
    <mergeCell ref="I17:I18"/>
    <mergeCell ref="K22:K24"/>
    <mergeCell ref="A26:A28"/>
    <mergeCell ref="A22:A24"/>
    <mergeCell ref="J17:J18"/>
    <mergeCell ref="K17:K18"/>
    <mergeCell ref="K88:K92"/>
    <mergeCell ref="J88:J92"/>
    <mergeCell ref="A60:A62"/>
    <mergeCell ref="H60:H62"/>
    <mergeCell ref="I60:I62"/>
    <mergeCell ref="K60:K62"/>
    <mergeCell ref="J60:J62"/>
    <mergeCell ref="A64:A65"/>
    <mergeCell ref="A93:G93"/>
    <mergeCell ref="D19:E21"/>
    <mergeCell ref="A19:A21"/>
    <mergeCell ref="H88:H92"/>
    <mergeCell ref="I88:I92"/>
    <mergeCell ref="A50:A52"/>
    <mergeCell ref="A45:A48"/>
    <mergeCell ref="H22:H24"/>
    <mergeCell ref="I22:I24"/>
    <mergeCell ref="D48:E48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57" fitToHeight="0" orientation="landscape" r:id="rId1"/>
  <rowBreaks count="6" manualBreakCount="6">
    <brk id="25" max="10" man="1"/>
    <brk id="38" max="10" man="1"/>
    <brk id="49" max="10" man="1"/>
    <brk id="65" max="10" man="1"/>
    <brk id="84" max="10" man="1"/>
    <brk id="9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05"/>
  <sheetViews>
    <sheetView view="pageBreakPreview" topLeftCell="A100" zoomScale="85" zoomScaleNormal="85" zoomScaleSheetLayoutView="85" workbookViewId="0">
      <selection sqref="A1:XFD1048576"/>
    </sheetView>
  </sheetViews>
  <sheetFormatPr defaultColWidth="9.109375" defaultRowHeight="18" outlineLevelRow="1" outlineLevelCol="1"/>
  <cols>
    <col min="1" max="1" width="6.109375" style="80" customWidth="1"/>
    <col min="2" max="2" width="47.5546875" style="31" customWidth="1"/>
    <col min="3" max="3" width="21.88671875" style="31" customWidth="1"/>
    <col min="4" max="4" width="25.109375" style="38" customWidth="1"/>
    <col min="5" max="5" width="16.44140625" style="39" bestFit="1" customWidth="1"/>
    <col min="6" max="8" width="15" style="39" bestFit="1" customWidth="1"/>
    <col min="9" max="9" width="15" style="39" bestFit="1" customWidth="1" outlineLevel="1"/>
    <col min="10" max="10" width="15" style="39" bestFit="1" customWidth="1"/>
    <col min="11" max="11" width="14.109375" style="31" bestFit="1" customWidth="1"/>
    <col min="12" max="16384" width="9.109375" style="31"/>
  </cols>
  <sheetData>
    <row r="1" spans="1:10" ht="16.5" customHeight="1">
      <c r="A1" s="187" t="s">
        <v>16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1:10" s="32" customFormat="1" ht="51.75" customHeight="1">
      <c r="A3" s="188" t="s">
        <v>2</v>
      </c>
      <c r="B3" s="189" t="s">
        <v>7</v>
      </c>
      <c r="C3" s="188" t="s">
        <v>14</v>
      </c>
      <c r="D3" s="188" t="s">
        <v>15</v>
      </c>
      <c r="E3" s="190" t="s">
        <v>21</v>
      </c>
      <c r="F3" s="190"/>
      <c r="G3" s="190"/>
      <c r="H3" s="190"/>
      <c r="I3" s="190"/>
      <c r="J3" s="190"/>
    </row>
    <row r="4" spans="1:10" s="32" customFormat="1" ht="34.5" customHeight="1">
      <c r="A4" s="188"/>
      <c r="B4" s="189"/>
      <c r="C4" s="188"/>
      <c r="D4" s="188"/>
      <c r="E4" s="114" t="s">
        <v>17</v>
      </c>
      <c r="F4" s="114" t="s">
        <v>18</v>
      </c>
      <c r="G4" s="114" t="s">
        <v>140</v>
      </c>
      <c r="H4" s="114" t="s">
        <v>142</v>
      </c>
      <c r="I4" s="114" t="s">
        <v>149</v>
      </c>
      <c r="J4" s="114" t="s">
        <v>150</v>
      </c>
    </row>
    <row r="5" spans="1:10" ht="37.5" customHeight="1">
      <c r="A5" s="191" t="s">
        <v>85</v>
      </c>
      <c r="B5" s="192"/>
      <c r="C5" s="192"/>
      <c r="D5" s="193"/>
      <c r="E5" s="45">
        <f>F5+G5+H5+J5</f>
        <v>9140296.2369999997</v>
      </c>
      <c r="F5" s="45">
        <f>F6+F9+F10+F15+F16+F17+F20</f>
        <v>1795771.5</v>
      </c>
      <c r="G5" s="45">
        <f>G6+G9+G10+G15+G16+G17+G20</f>
        <v>2085723.4</v>
      </c>
      <c r="H5" s="45">
        <f>H6+H9+H10+H15+H16+H17+H20</f>
        <v>2274686.9999999995</v>
      </c>
      <c r="I5" s="45">
        <f>I6+I9+I10++I11+I15+I16+I17+I20</f>
        <v>3018280.3000000003</v>
      </c>
      <c r="J5" s="45">
        <f>J6+J9+J10+J11+J15+J16+J17+J20</f>
        <v>2984114.3369999998</v>
      </c>
    </row>
    <row r="6" spans="1:10" ht="18.75" customHeight="1" outlineLevel="1">
      <c r="A6" s="159" t="s">
        <v>28</v>
      </c>
      <c r="B6" s="162" t="s">
        <v>35</v>
      </c>
      <c r="C6" s="159" t="s">
        <v>34</v>
      </c>
      <c r="D6" s="34" t="s">
        <v>78</v>
      </c>
      <c r="E6" s="72">
        <f t="shared" ref="E6:E81" si="0">F6+G6+H6+J6</f>
        <v>8375445.8969999999</v>
      </c>
      <c r="F6" s="35">
        <f>F7+F8</f>
        <v>1780240.6</v>
      </c>
      <c r="G6" s="35">
        <f t="shared" ref="G6:H6" si="1">G7+G8</f>
        <v>2012514.7</v>
      </c>
      <c r="H6" s="35">
        <f t="shared" si="1"/>
        <v>2218348.2999999998</v>
      </c>
      <c r="I6" s="35">
        <f>'Отчет_лист 1'!H11</f>
        <v>2364794.6</v>
      </c>
      <c r="J6" s="35">
        <f>'Отчет_лист 1'!I11</f>
        <v>2364342.2969999998</v>
      </c>
    </row>
    <row r="7" spans="1:10" outlineLevel="1">
      <c r="A7" s="160"/>
      <c r="B7" s="163"/>
      <c r="C7" s="160"/>
      <c r="D7" s="118" t="s">
        <v>76</v>
      </c>
      <c r="E7" s="72">
        <f t="shared" si="0"/>
        <v>4290533.0115999999</v>
      </c>
      <c r="F7" s="35">
        <v>1039360.3</v>
      </c>
      <c r="G7" s="35">
        <v>1205675.7</v>
      </c>
      <c r="H7" s="35">
        <v>1039063.7</v>
      </c>
      <c r="I7" s="35">
        <v>1006631.9</v>
      </c>
      <c r="J7" s="35">
        <v>1006433.3116</v>
      </c>
    </row>
    <row r="8" spans="1:10" outlineLevel="1">
      <c r="A8" s="160"/>
      <c r="B8" s="163"/>
      <c r="C8" s="160"/>
      <c r="D8" s="118" t="s">
        <v>77</v>
      </c>
      <c r="E8" s="72">
        <f t="shared" si="0"/>
        <v>4084912.8172600004</v>
      </c>
      <c r="F8" s="35">
        <v>740880.3</v>
      </c>
      <c r="G8" s="35">
        <v>806839</v>
      </c>
      <c r="H8" s="35">
        <v>1179284.6000000001</v>
      </c>
      <c r="I8" s="35">
        <v>1358162.7</v>
      </c>
      <c r="J8" s="35">
        <v>1357908.91726</v>
      </c>
    </row>
    <row r="9" spans="1:10" ht="36" outlineLevel="1">
      <c r="A9" s="116" t="s">
        <v>29</v>
      </c>
      <c r="B9" s="117" t="s">
        <v>112</v>
      </c>
      <c r="C9" s="116" t="s">
        <v>34</v>
      </c>
      <c r="D9" s="118" t="s">
        <v>76</v>
      </c>
      <c r="E9" s="72">
        <f t="shared" si="0"/>
        <v>64919.9</v>
      </c>
      <c r="F9" s="35">
        <v>15530.9</v>
      </c>
      <c r="G9" s="35">
        <v>31215</v>
      </c>
      <c r="H9" s="35">
        <v>6959.9</v>
      </c>
      <c r="I9" s="35">
        <f>'Отчет_лист 1'!H16</f>
        <v>11214.1</v>
      </c>
      <c r="J9" s="35">
        <f>'Отчет_лист 1'!I16</f>
        <v>11214.1</v>
      </c>
    </row>
    <row r="10" spans="1:10" ht="36" outlineLevel="1">
      <c r="A10" s="116" t="s">
        <v>51</v>
      </c>
      <c r="B10" s="117" t="s">
        <v>86</v>
      </c>
      <c r="C10" s="116" t="s">
        <v>34</v>
      </c>
      <c r="D10" s="118" t="s">
        <v>76</v>
      </c>
      <c r="E10" s="72">
        <f t="shared" si="0"/>
        <v>750</v>
      </c>
      <c r="F10" s="35">
        <v>0</v>
      </c>
      <c r="G10" s="35">
        <v>750</v>
      </c>
      <c r="H10" s="35">
        <v>0</v>
      </c>
      <c r="I10" s="35">
        <f>'Отчет_лист 1'!H17</f>
        <v>0</v>
      </c>
      <c r="J10" s="35">
        <f>'Отчет_лист 1'!I17</f>
        <v>0</v>
      </c>
    </row>
    <row r="11" spans="1:10" outlineLevel="1">
      <c r="A11" s="159" t="s">
        <v>52</v>
      </c>
      <c r="B11" s="162" t="s">
        <v>160</v>
      </c>
      <c r="C11" s="159" t="s">
        <v>124</v>
      </c>
      <c r="D11" s="118" t="s">
        <v>78</v>
      </c>
      <c r="E11" s="72">
        <f t="shared" ref="E11:E14" si="2">F11+G11+H11+J11</f>
        <v>568434.84</v>
      </c>
      <c r="F11" s="35">
        <v>0</v>
      </c>
      <c r="G11" s="35">
        <v>0</v>
      </c>
      <c r="H11" s="35">
        <v>0</v>
      </c>
      <c r="I11" s="35">
        <f>'Отчет_лист 1'!H19</f>
        <v>602148</v>
      </c>
      <c r="J11" s="35">
        <f>'Отчет_лист 1'!I19</f>
        <v>568434.84</v>
      </c>
    </row>
    <row r="12" spans="1:10" outlineLevel="1">
      <c r="A12" s="160"/>
      <c r="B12" s="163"/>
      <c r="C12" s="160"/>
      <c r="D12" s="118" t="s">
        <v>76</v>
      </c>
      <c r="E12" s="72">
        <f t="shared" si="2"/>
        <v>31263.83</v>
      </c>
      <c r="F12" s="35">
        <v>0</v>
      </c>
      <c r="G12" s="35">
        <v>0</v>
      </c>
      <c r="H12" s="35">
        <v>0</v>
      </c>
      <c r="I12" s="35">
        <f>17875+15244.8</f>
        <v>33119.800000000003</v>
      </c>
      <c r="J12" s="35">
        <v>31263.83</v>
      </c>
    </row>
    <row r="13" spans="1:10" outlineLevel="1">
      <c r="A13" s="160"/>
      <c r="B13" s="163"/>
      <c r="C13" s="160"/>
      <c r="D13" s="118" t="s">
        <v>77</v>
      </c>
      <c r="E13" s="72">
        <f t="shared" si="2"/>
        <v>231657.31</v>
      </c>
      <c r="F13" s="35">
        <v>0</v>
      </c>
      <c r="G13" s="35">
        <v>0</v>
      </c>
      <c r="H13" s="35">
        <v>0</v>
      </c>
      <c r="I13" s="35">
        <f>154368.1+109146.4</f>
        <v>263514.5</v>
      </c>
      <c r="J13" s="35">
        <v>231657.31</v>
      </c>
    </row>
    <row r="14" spans="1:10" outlineLevel="1">
      <c r="A14" s="161"/>
      <c r="B14" s="164"/>
      <c r="C14" s="161"/>
      <c r="D14" s="118" t="s">
        <v>82</v>
      </c>
      <c r="E14" s="72">
        <f t="shared" si="2"/>
        <v>305513.7</v>
      </c>
      <c r="F14" s="35">
        <v>0</v>
      </c>
      <c r="G14" s="35">
        <v>0</v>
      </c>
      <c r="H14" s="35">
        <v>0</v>
      </c>
      <c r="I14" s="35">
        <f>152756.9+152756.8</f>
        <v>305513.69999999995</v>
      </c>
      <c r="J14" s="35">
        <v>305513.7</v>
      </c>
    </row>
    <row r="15" spans="1:10" ht="36" outlineLevel="1">
      <c r="A15" s="116" t="s">
        <v>53</v>
      </c>
      <c r="B15" s="117" t="s">
        <v>111</v>
      </c>
      <c r="C15" s="116" t="s">
        <v>113</v>
      </c>
      <c r="D15" s="118" t="s">
        <v>76</v>
      </c>
      <c r="E15" s="72">
        <f t="shared" si="0"/>
        <v>6931.2</v>
      </c>
      <c r="F15" s="35">
        <v>0</v>
      </c>
      <c r="G15" s="35">
        <v>6931.2</v>
      </c>
      <c r="H15" s="35">
        <v>0</v>
      </c>
      <c r="I15" s="35">
        <v>0</v>
      </c>
      <c r="J15" s="35">
        <v>0</v>
      </c>
    </row>
    <row r="16" spans="1:10" ht="36" outlineLevel="1">
      <c r="A16" s="116" t="s">
        <v>54</v>
      </c>
      <c r="B16" s="117" t="s">
        <v>114</v>
      </c>
      <c r="C16" s="116" t="s">
        <v>113</v>
      </c>
      <c r="D16" s="118" t="s">
        <v>76</v>
      </c>
      <c r="E16" s="72">
        <f t="shared" si="0"/>
        <v>3120.9</v>
      </c>
      <c r="F16" s="35">
        <v>0</v>
      </c>
      <c r="G16" s="35">
        <v>1620.9</v>
      </c>
      <c r="H16" s="35">
        <v>1500</v>
      </c>
      <c r="I16" s="35">
        <f>'Отчет_лист 1'!H25</f>
        <v>0</v>
      </c>
      <c r="J16" s="35">
        <f>'Отчет_лист 1'!I25</f>
        <v>0</v>
      </c>
    </row>
    <row r="17" spans="1:11" outlineLevel="1">
      <c r="A17" s="171" t="s">
        <v>55</v>
      </c>
      <c r="B17" s="186" t="s">
        <v>115</v>
      </c>
      <c r="C17" s="171" t="s">
        <v>113</v>
      </c>
      <c r="D17" s="34" t="s">
        <v>78</v>
      </c>
      <c r="E17" s="72">
        <f t="shared" si="0"/>
        <v>109878.39999999999</v>
      </c>
      <c r="F17" s="35">
        <f>SUM(F18:F19)</f>
        <v>0</v>
      </c>
      <c r="G17" s="35">
        <f t="shared" ref="G17" si="3">SUM(G18:G19)</f>
        <v>21876.5</v>
      </c>
      <c r="H17" s="35">
        <v>47878.8</v>
      </c>
      <c r="I17" s="35">
        <f>'Отчет_лист 1'!H26</f>
        <v>40123.600000000006</v>
      </c>
      <c r="J17" s="35">
        <f>'Отчет_лист 1'!I26</f>
        <v>40123.1</v>
      </c>
    </row>
    <row r="18" spans="1:11" outlineLevel="1">
      <c r="A18" s="171"/>
      <c r="B18" s="186"/>
      <c r="C18" s="171"/>
      <c r="D18" s="118" t="s">
        <v>76</v>
      </c>
      <c r="E18" s="72">
        <f t="shared" si="0"/>
        <v>78844.100000000006</v>
      </c>
      <c r="F18" s="35">
        <v>0</v>
      </c>
      <c r="G18" s="35">
        <v>13831.7</v>
      </c>
      <c r="H18" s="35">
        <v>34284.5</v>
      </c>
      <c r="I18" s="35">
        <v>30728.400000000001</v>
      </c>
      <c r="J18" s="35">
        <v>30727.9</v>
      </c>
    </row>
    <row r="19" spans="1:11" outlineLevel="1">
      <c r="A19" s="171"/>
      <c r="B19" s="186"/>
      <c r="C19" s="171"/>
      <c r="D19" s="118" t="s">
        <v>77</v>
      </c>
      <c r="E19" s="72">
        <f t="shared" si="0"/>
        <v>31034.3</v>
      </c>
      <c r="F19" s="35">
        <v>0</v>
      </c>
      <c r="G19" s="35">
        <v>8044.8</v>
      </c>
      <c r="H19" s="35">
        <v>13594.3</v>
      </c>
      <c r="I19" s="35">
        <v>9395.2000000000007</v>
      </c>
      <c r="J19" s="35">
        <v>9395.2000000000007</v>
      </c>
    </row>
    <row r="20" spans="1:11" outlineLevel="1">
      <c r="A20" s="171" t="s">
        <v>56</v>
      </c>
      <c r="B20" s="186" t="s">
        <v>116</v>
      </c>
      <c r="C20" s="171" t="s">
        <v>113</v>
      </c>
      <c r="D20" s="34" t="s">
        <v>78</v>
      </c>
      <c r="E20" s="72">
        <f t="shared" si="0"/>
        <v>10815.1</v>
      </c>
      <c r="F20" s="35">
        <f>SUM(F21:F22)</f>
        <v>0</v>
      </c>
      <c r="G20" s="35">
        <f t="shared" ref="G20" si="4">SUM(G21:G22)</f>
        <v>10815.1</v>
      </c>
      <c r="H20" s="35">
        <v>0</v>
      </c>
      <c r="I20" s="35">
        <v>0</v>
      </c>
      <c r="J20" s="35">
        <v>0</v>
      </c>
    </row>
    <row r="21" spans="1:11" outlineLevel="1">
      <c r="A21" s="171"/>
      <c r="B21" s="186"/>
      <c r="C21" s="171"/>
      <c r="D21" s="118" t="s">
        <v>76</v>
      </c>
      <c r="E21" s="72">
        <f t="shared" si="0"/>
        <v>2792.5</v>
      </c>
      <c r="F21" s="35">
        <v>0</v>
      </c>
      <c r="G21" s="35">
        <v>2792.5</v>
      </c>
      <c r="H21" s="35">
        <v>0</v>
      </c>
      <c r="I21" s="35">
        <v>0</v>
      </c>
      <c r="J21" s="35">
        <v>0</v>
      </c>
    </row>
    <row r="22" spans="1:11" outlineLevel="1">
      <c r="A22" s="171"/>
      <c r="B22" s="186"/>
      <c r="C22" s="171"/>
      <c r="D22" s="118" t="s">
        <v>77</v>
      </c>
      <c r="E22" s="72">
        <f t="shared" si="0"/>
        <v>8022.6</v>
      </c>
      <c r="F22" s="35">
        <v>0</v>
      </c>
      <c r="G22" s="35">
        <v>8022.6</v>
      </c>
      <c r="H22" s="35">
        <v>0</v>
      </c>
      <c r="I22" s="35">
        <v>0</v>
      </c>
      <c r="J22" s="35">
        <v>0</v>
      </c>
    </row>
    <row r="23" spans="1:11" ht="19.5" customHeight="1">
      <c r="A23" s="165" t="s">
        <v>79</v>
      </c>
      <c r="B23" s="166"/>
      <c r="C23" s="172"/>
      <c r="D23" s="34" t="s">
        <v>78</v>
      </c>
      <c r="E23" s="35">
        <f t="shared" ref="E23:I23" si="5">SUM(E24:E26)</f>
        <v>8877375.028859999</v>
      </c>
      <c r="F23" s="35">
        <f t="shared" si="5"/>
        <v>1795771.5</v>
      </c>
      <c r="G23" s="35">
        <f t="shared" si="5"/>
        <v>2085723.4</v>
      </c>
      <c r="H23" s="35">
        <f t="shared" si="5"/>
        <v>2274687</v>
      </c>
      <c r="I23" s="35">
        <f t="shared" si="5"/>
        <v>3018280.3</v>
      </c>
      <c r="J23" s="35">
        <f>SUM(J24:J26)</f>
        <v>2984114.2688600002</v>
      </c>
    </row>
    <row r="24" spans="1:11" ht="19.5" customHeight="1">
      <c r="A24" s="167"/>
      <c r="B24" s="168"/>
      <c r="C24" s="173"/>
      <c r="D24" s="118" t="s">
        <v>76</v>
      </c>
      <c r="E24" s="72">
        <f>F28+G28+H28+J28</f>
        <v>4447891.6115999995</v>
      </c>
      <c r="F24" s="37">
        <f>F28+F31</f>
        <v>1054891.2</v>
      </c>
      <c r="G24" s="37">
        <f t="shared" ref="G24:I24" si="6">G28+G31</f>
        <v>1262816.9999999998</v>
      </c>
      <c r="H24" s="37">
        <f t="shared" si="6"/>
        <v>1081808.1000000001</v>
      </c>
      <c r="I24" s="37">
        <f t="shared" si="6"/>
        <v>1081694.2</v>
      </c>
      <c r="J24" s="37">
        <f t="shared" ref="J24" si="7">J28+J31</f>
        <v>1079639.1416</v>
      </c>
    </row>
    <row r="25" spans="1:11" ht="19.5" customHeight="1">
      <c r="A25" s="167"/>
      <c r="B25" s="168"/>
      <c r="C25" s="173"/>
      <c r="D25" s="118" t="s">
        <v>77</v>
      </c>
      <c r="E25" s="72">
        <f>F29+G29+H29+J29</f>
        <v>4123969.7172600003</v>
      </c>
      <c r="F25" s="37">
        <f>F29+F32</f>
        <v>740880.3</v>
      </c>
      <c r="G25" s="37">
        <f t="shared" ref="G25:I25" si="8">G29+G32</f>
        <v>822906.4</v>
      </c>
      <c r="H25" s="37">
        <f t="shared" si="8"/>
        <v>1192878.9000000001</v>
      </c>
      <c r="I25" s="37">
        <f t="shared" si="8"/>
        <v>1631072.4</v>
      </c>
      <c r="J25" s="37">
        <f t="shared" ref="J25" si="9">J29+J32</f>
        <v>1598961.42726</v>
      </c>
    </row>
    <row r="26" spans="1:11" ht="19.5" customHeight="1">
      <c r="A26" s="167"/>
      <c r="B26" s="168"/>
      <c r="C26" s="174"/>
      <c r="D26" s="74" t="s">
        <v>82</v>
      </c>
      <c r="E26" s="72">
        <f t="shared" si="0"/>
        <v>305513.7</v>
      </c>
      <c r="F26" s="35">
        <f>F33</f>
        <v>0</v>
      </c>
      <c r="G26" s="35">
        <f t="shared" ref="G26:I26" si="10">G33</f>
        <v>0</v>
      </c>
      <c r="H26" s="35">
        <f t="shared" si="10"/>
        <v>0</v>
      </c>
      <c r="I26" s="35">
        <f t="shared" si="10"/>
        <v>305513.69999999995</v>
      </c>
      <c r="J26" s="35">
        <f t="shared" ref="J26" si="11">J33</f>
        <v>305513.7</v>
      </c>
    </row>
    <row r="27" spans="1:11" ht="19.5" customHeight="1">
      <c r="A27" s="167"/>
      <c r="B27" s="168"/>
      <c r="C27" s="171" t="s">
        <v>34</v>
      </c>
      <c r="D27" s="81" t="s">
        <v>179</v>
      </c>
      <c r="E27" s="72">
        <f t="shared" si="0"/>
        <v>8571861.3288599998</v>
      </c>
      <c r="F27" s="35">
        <f>SUM(F28:F29)</f>
        <v>1795771.5</v>
      </c>
      <c r="G27" s="35">
        <f>SUM(G28:G29)</f>
        <v>2085723.4</v>
      </c>
      <c r="H27" s="35">
        <f>SUM(H28:H29)</f>
        <v>2274687</v>
      </c>
      <c r="I27" s="35">
        <f>SUM(I28:I29)</f>
        <v>2416132.2999999998</v>
      </c>
      <c r="J27" s="35">
        <f>SUM(J28:J29)</f>
        <v>2415679.4288599999</v>
      </c>
    </row>
    <row r="28" spans="1:11" ht="19.5" customHeight="1">
      <c r="A28" s="167"/>
      <c r="B28" s="168"/>
      <c r="C28" s="171"/>
      <c r="D28" s="118" t="s">
        <v>76</v>
      </c>
      <c r="E28" s="72">
        <f t="shared" si="0"/>
        <v>4447891.6115999995</v>
      </c>
      <c r="F28" s="35">
        <f>F7+F9+F10+F15+F16+F18+F21</f>
        <v>1054891.2</v>
      </c>
      <c r="G28" s="35">
        <f>G7+G9+G10+G15+G16+G18+G21</f>
        <v>1262816.9999999998</v>
      </c>
      <c r="H28" s="35">
        <v>1081808.1000000001</v>
      </c>
      <c r="I28" s="35">
        <f>I7+I9+I10+I15+I16+I18+I21</f>
        <v>1048574.4</v>
      </c>
      <c r="J28" s="35">
        <f>J7+J9+J10+J15+J16+J18+J21</f>
        <v>1048375.3116</v>
      </c>
      <c r="K28" s="75"/>
    </row>
    <row r="29" spans="1:11" ht="19.5" customHeight="1">
      <c r="A29" s="167"/>
      <c r="B29" s="168"/>
      <c r="C29" s="171"/>
      <c r="D29" s="118" t="s">
        <v>77</v>
      </c>
      <c r="E29" s="72">
        <f t="shared" si="0"/>
        <v>4123969.7172600003</v>
      </c>
      <c r="F29" s="35">
        <f>F8+F19+F22</f>
        <v>740880.3</v>
      </c>
      <c r="G29" s="35">
        <f>G8+G19+G22</f>
        <v>822906.4</v>
      </c>
      <c r="H29" s="35">
        <v>1192878.9000000001</v>
      </c>
      <c r="I29" s="35">
        <f>I8+I19+I22</f>
        <v>1367557.9</v>
      </c>
      <c r="J29" s="35">
        <f>J8+J19+J22</f>
        <v>1367304.11726</v>
      </c>
    </row>
    <row r="30" spans="1:11" ht="19.5" customHeight="1">
      <c r="A30" s="167"/>
      <c r="B30" s="168"/>
      <c r="C30" s="171" t="s">
        <v>124</v>
      </c>
      <c r="D30" s="46" t="s">
        <v>179</v>
      </c>
      <c r="E30" s="72">
        <f t="shared" si="0"/>
        <v>568434.84000000008</v>
      </c>
      <c r="F30" s="35">
        <f>SUM(F31:F33)</f>
        <v>0</v>
      </c>
      <c r="G30" s="35">
        <f t="shared" ref="G30:J30" si="12">SUM(G31:G33)</f>
        <v>0</v>
      </c>
      <c r="H30" s="35">
        <f t="shared" si="12"/>
        <v>0</v>
      </c>
      <c r="I30" s="35">
        <f t="shared" si="12"/>
        <v>602148</v>
      </c>
      <c r="J30" s="35">
        <f t="shared" si="12"/>
        <v>568434.84000000008</v>
      </c>
    </row>
    <row r="31" spans="1:11" ht="19.5" customHeight="1">
      <c r="A31" s="167"/>
      <c r="B31" s="168"/>
      <c r="C31" s="171"/>
      <c r="D31" s="118" t="s">
        <v>76</v>
      </c>
      <c r="E31" s="72">
        <f t="shared" si="0"/>
        <v>31263.83</v>
      </c>
      <c r="F31" s="35">
        <f>F12</f>
        <v>0</v>
      </c>
      <c r="G31" s="35">
        <f t="shared" ref="G31:I31" si="13">G12</f>
        <v>0</v>
      </c>
      <c r="H31" s="35">
        <f t="shared" si="13"/>
        <v>0</v>
      </c>
      <c r="I31" s="35">
        <f t="shared" si="13"/>
        <v>33119.800000000003</v>
      </c>
      <c r="J31" s="35">
        <f t="shared" ref="J31" si="14">J12</f>
        <v>31263.83</v>
      </c>
    </row>
    <row r="32" spans="1:11" ht="19.5" customHeight="1">
      <c r="A32" s="167"/>
      <c r="B32" s="168"/>
      <c r="C32" s="171"/>
      <c r="D32" s="118" t="s">
        <v>77</v>
      </c>
      <c r="E32" s="72">
        <f t="shared" si="0"/>
        <v>231657.31</v>
      </c>
      <c r="F32" s="35">
        <f t="shared" ref="F32:I33" si="15">F13</f>
        <v>0</v>
      </c>
      <c r="G32" s="35">
        <f t="shared" si="15"/>
        <v>0</v>
      </c>
      <c r="H32" s="35">
        <f t="shared" si="15"/>
        <v>0</v>
      </c>
      <c r="I32" s="35">
        <f t="shared" si="15"/>
        <v>263514.5</v>
      </c>
      <c r="J32" s="35">
        <f t="shared" ref="J32" si="16">J13</f>
        <v>231657.31</v>
      </c>
    </row>
    <row r="33" spans="1:10" ht="19.5" customHeight="1">
      <c r="A33" s="169"/>
      <c r="B33" s="170"/>
      <c r="C33" s="171"/>
      <c r="D33" s="118" t="s">
        <v>82</v>
      </c>
      <c r="E33" s="72">
        <f t="shared" si="0"/>
        <v>305513.7</v>
      </c>
      <c r="F33" s="35">
        <f t="shared" si="15"/>
        <v>0</v>
      </c>
      <c r="G33" s="35">
        <f t="shared" si="15"/>
        <v>0</v>
      </c>
      <c r="H33" s="35">
        <f t="shared" si="15"/>
        <v>0</v>
      </c>
      <c r="I33" s="35">
        <f t="shared" si="15"/>
        <v>305513.69999999995</v>
      </c>
      <c r="J33" s="35">
        <f t="shared" ref="J33" si="17">J14</f>
        <v>305513.7</v>
      </c>
    </row>
    <row r="34" spans="1:10" s="48" customFormat="1" ht="20.25" customHeight="1">
      <c r="A34" s="156" t="s">
        <v>91</v>
      </c>
      <c r="B34" s="157"/>
      <c r="C34" s="157"/>
      <c r="D34" s="158"/>
      <c r="E34" s="45">
        <f t="shared" si="0"/>
        <v>14355928.554450002</v>
      </c>
      <c r="F34" s="53">
        <f>F35+F38+F44</f>
        <v>2573216.7000000002</v>
      </c>
      <c r="G34" s="53">
        <v>3399820.4000000004</v>
      </c>
      <c r="H34" s="53">
        <v>3972928.5000000005</v>
      </c>
      <c r="I34" s="53">
        <f>'Отчет_лист 1'!H30</f>
        <v>4410241.5</v>
      </c>
      <c r="J34" s="53">
        <f>'Отчет_лист 1'!I30</f>
        <v>4409962.9544500001</v>
      </c>
    </row>
    <row r="35" spans="1:10" outlineLevel="1">
      <c r="A35" s="159" t="s">
        <v>57</v>
      </c>
      <c r="B35" s="162" t="s">
        <v>36</v>
      </c>
      <c r="C35" s="126" t="s">
        <v>120</v>
      </c>
      <c r="D35" s="34" t="s">
        <v>78</v>
      </c>
      <c r="E35" s="72">
        <f t="shared" si="0"/>
        <v>11206211.89445</v>
      </c>
      <c r="F35" s="35">
        <f>F36+F37</f>
        <v>2539145.2000000002</v>
      </c>
      <c r="G35" s="35">
        <f t="shared" ref="G35:H35" si="18">G36+G37</f>
        <v>2670575.5</v>
      </c>
      <c r="H35" s="35">
        <f t="shared" si="18"/>
        <v>2831132.5</v>
      </c>
      <c r="I35" s="35">
        <f>'Отчет_лист 1'!H31</f>
        <v>3165439.0999999996</v>
      </c>
      <c r="J35" s="35">
        <f>'Отчет_лист 1'!I31</f>
        <v>3165358.6944499998</v>
      </c>
    </row>
    <row r="36" spans="1:10" outlineLevel="1">
      <c r="A36" s="160"/>
      <c r="B36" s="163"/>
      <c r="C36" s="160"/>
      <c r="D36" s="118" t="s">
        <v>76</v>
      </c>
      <c r="E36" s="72">
        <f t="shared" si="0"/>
        <v>4000582.2</v>
      </c>
      <c r="F36" s="35">
        <v>783225</v>
      </c>
      <c r="G36" s="35">
        <v>866932</v>
      </c>
      <c r="H36" s="35">
        <v>1109885.3999999999</v>
      </c>
      <c r="I36" s="35">
        <v>1240620.2</v>
      </c>
      <c r="J36" s="35">
        <v>1240539.8</v>
      </c>
    </row>
    <row r="37" spans="1:10" outlineLevel="1">
      <c r="A37" s="160"/>
      <c r="B37" s="163"/>
      <c r="C37" s="160"/>
      <c r="D37" s="118" t="s">
        <v>77</v>
      </c>
      <c r="E37" s="72">
        <f t="shared" si="0"/>
        <v>7205629.7000000011</v>
      </c>
      <c r="F37" s="35">
        <v>1755920.2</v>
      </c>
      <c r="G37" s="35">
        <v>1803643.5</v>
      </c>
      <c r="H37" s="35">
        <v>1721247.1</v>
      </c>
      <c r="I37" s="35">
        <v>1924818.9</v>
      </c>
      <c r="J37" s="35">
        <v>1924818.9</v>
      </c>
    </row>
    <row r="38" spans="1:10" outlineLevel="1">
      <c r="A38" s="159" t="s">
        <v>58</v>
      </c>
      <c r="B38" s="162" t="s">
        <v>117</v>
      </c>
      <c r="C38" s="126" t="s">
        <v>120</v>
      </c>
      <c r="D38" s="34" t="s">
        <v>78</v>
      </c>
      <c r="E38" s="72">
        <f t="shared" si="0"/>
        <v>204633.9</v>
      </c>
      <c r="F38" s="35">
        <f>F39+F40+F41</f>
        <v>32402.9</v>
      </c>
      <c r="G38" s="35">
        <f>G39+G40+G41</f>
        <v>90634.7</v>
      </c>
      <c r="H38" s="35">
        <v>36657.9</v>
      </c>
      <c r="I38" s="35">
        <f>'Отчет_лист 1'!H45</f>
        <v>44939.100000000006</v>
      </c>
      <c r="J38" s="35">
        <f>'Отчет_лист 1'!I45</f>
        <v>44938.400000000001</v>
      </c>
    </row>
    <row r="39" spans="1:10" outlineLevel="1">
      <c r="A39" s="160"/>
      <c r="B39" s="163"/>
      <c r="C39" s="127"/>
      <c r="D39" s="118" t="s">
        <v>76</v>
      </c>
      <c r="E39" s="72">
        <f t="shared" si="0"/>
        <v>111803.5</v>
      </c>
      <c r="F39" s="35">
        <v>25224.2</v>
      </c>
      <c r="G39" s="35">
        <v>44162.3</v>
      </c>
      <c r="H39" s="35">
        <v>19837.7</v>
      </c>
      <c r="I39" s="35">
        <v>22580</v>
      </c>
      <c r="J39" s="35">
        <v>22579.3</v>
      </c>
    </row>
    <row r="40" spans="1:10" outlineLevel="1">
      <c r="A40" s="160"/>
      <c r="B40" s="163"/>
      <c r="C40" s="127"/>
      <c r="D40" s="118" t="s">
        <v>77</v>
      </c>
      <c r="E40" s="72">
        <f t="shared" si="0"/>
        <v>91910.699999999983</v>
      </c>
      <c r="F40" s="35">
        <v>7178.7</v>
      </c>
      <c r="G40" s="35">
        <v>46097.2</v>
      </c>
      <c r="H40" s="35">
        <v>16497.900000000001</v>
      </c>
      <c r="I40" s="35">
        <v>22136.9</v>
      </c>
      <c r="J40" s="35">
        <v>22136.9</v>
      </c>
    </row>
    <row r="41" spans="1:10" outlineLevel="1">
      <c r="A41" s="161"/>
      <c r="B41" s="164"/>
      <c r="C41" s="128"/>
      <c r="D41" s="118" t="s">
        <v>82</v>
      </c>
      <c r="E41" s="72">
        <f t="shared" si="0"/>
        <v>919.7</v>
      </c>
      <c r="F41" s="35">
        <v>0</v>
      </c>
      <c r="G41" s="35">
        <v>375.2</v>
      </c>
      <c r="H41" s="35">
        <v>322.3</v>
      </c>
      <c r="I41" s="35">
        <v>222.2</v>
      </c>
      <c r="J41" s="35">
        <v>222.2</v>
      </c>
    </row>
    <row r="42" spans="1:10" ht="36" outlineLevel="1">
      <c r="A42" s="116" t="s">
        <v>59</v>
      </c>
      <c r="B42" s="117" t="s">
        <v>118</v>
      </c>
      <c r="C42" s="113" t="s">
        <v>120</v>
      </c>
      <c r="D42" s="118" t="s">
        <v>76</v>
      </c>
      <c r="E42" s="72">
        <f t="shared" si="0"/>
        <v>3979.3</v>
      </c>
      <c r="F42" s="35">
        <v>0</v>
      </c>
      <c r="G42" s="35">
        <v>2610.8000000000002</v>
      </c>
      <c r="H42" s="35">
        <v>941</v>
      </c>
      <c r="I42" s="35">
        <f>'Отчет_лист 1'!H50</f>
        <v>446.9</v>
      </c>
      <c r="J42" s="35">
        <f>'Отчет_лист 1'!I50</f>
        <v>427.5</v>
      </c>
    </row>
    <row r="43" spans="1:10" ht="36" outlineLevel="1">
      <c r="A43" s="80" t="s">
        <v>60</v>
      </c>
      <c r="B43" s="117" t="s">
        <v>121</v>
      </c>
      <c r="C43" s="113" t="s">
        <v>120</v>
      </c>
      <c r="D43" s="118" t="s">
        <v>76</v>
      </c>
      <c r="E43" s="72">
        <f t="shared" si="0"/>
        <v>2967.1000000000004</v>
      </c>
      <c r="F43" s="35">
        <v>0</v>
      </c>
      <c r="G43" s="35">
        <v>1555.4</v>
      </c>
      <c r="H43" s="35">
        <v>1411.7</v>
      </c>
      <c r="I43" s="35">
        <f>'Отчет_лист 1'!H53</f>
        <v>0</v>
      </c>
      <c r="J43" s="35">
        <f>'Отчет_лист 1'!I53</f>
        <v>0</v>
      </c>
    </row>
    <row r="44" spans="1:10" outlineLevel="1">
      <c r="A44" s="159" t="s">
        <v>61</v>
      </c>
      <c r="B44" s="162" t="s">
        <v>37</v>
      </c>
      <c r="C44" s="159" t="s">
        <v>119</v>
      </c>
      <c r="D44" s="34" t="s">
        <v>78</v>
      </c>
      <c r="E44" s="72">
        <f t="shared" si="0"/>
        <v>9758.2999999999993</v>
      </c>
      <c r="F44" s="35">
        <f>SUM(F45:F47)</f>
        <v>1668.6</v>
      </c>
      <c r="G44" s="35">
        <f>SUM(G45:G47)</f>
        <v>5965.9</v>
      </c>
      <c r="H44" s="35">
        <v>1013.5</v>
      </c>
      <c r="I44" s="35">
        <f>'Отчет_лист 1'!H54</f>
        <v>1110.3</v>
      </c>
      <c r="J44" s="35">
        <f>'Отчет_лист 1'!I54</f>
        <v>1110.3</v>
      </c>
    </row>
    <row r="45" spans="1:10" outlineLevel="1">
      <c r="A45" s="160"/>
      <c r="B45" s="163"/>
      <c r="C45" s="160"/>
      <c r="D45" s="118" t="s">
        <v>76</v>
      </c>
      <c r="E45" s="72">
        <f t="shared" si="0"/>
        <v>6457.1</v>
      </c>
      <c r="F45" s="35">
        <v>618</v>
      </c>
      <c r="G45" s="35">
        <v>5202</v>
      </c>
      <c r="H45" s="35">
        <v>413.5</v>
      </c>
      <c r="I45" s="35">
        <v>223.6</v>
      </c>
      <c r="J45" s="35">
        <v>223.6</v>
      </c>
    </row>
    <row r="46" spans="1:10" outlineLevel="1">
      <c r="A46" s="160"/>
      <c r="B46" s="163"/>
      <c r="C46" s="160"/>
      <c r="D46" s="118" t="s">
        <v>77</v>
      </c>
      <c r="E46" s="72">
        <f t="shared" si="0"/>
        <v>2827.4</v>
      </c>
      <c r="F46" s="35">
        <v>1050.5999999999999</v>
      </c>
      <c r="G46" s="35">
        <v>763.9</v>
      </c>
      <c r="H46" s="35">
        <v>240</v>
      </c>
      <c r="I46" s="35">
        <v>772.9</v>
      </c>
      <c r="J46" s="35">
        <v>772.9</v>
      </c>
    </row>
    <row r="47" spans="1:10" outlineLevel="1">
      <c r="A47" s="161"/>
      <c r="B47" s="164"/>
      <c r="C47" s="161"/>
      <c r="D47" s="118" t="s">
        <v>82</v>
      </c>
      <c r="E47" s="72">
        <f t="shared" si="0"/>
        <v>473.8</v>
      </c>
      <c r="F47" s="35">
        <v>0</v>
      </c>
      <c r="G47" s="35">
        <v>0</v>
      </c>
      <c r="H47" s="35">
        <v>360</v>
      </c>
      <c r="I47" s="35">
        <v>113.8</v>
      </c>
      <c r="J47" s="35">
        <v>113.8</v>
      </c>
    </row>
    <row r="48" spans="1:10" ht="54" outlineLevel="1">
      <c r="A48" s="116" t="s">
        <v>62</v>
      </c>
      <c r="B48" s="117" t="s">
        <v>122</v>
      </c>
      <c r="C48" s="113" t="s">
        <v>120</v>
      </c>
      <c r="D48" s="118" t="s">
        <v>76</v>
      </c>
      <c r="E48" s="72">
        <f t="shared" si="0"/>
        <v>4076.3999999999996</v>
      </c>
      <c r="F48" s="35">
        <v>0</v>
      </c>
      <c r="G48" s="35">
        <v>2560.1999999999998</v>
      </c>
      <c r="H48" s="35">
        <v>1516.2</v>
      </c>
      <c r="I48" s="35">
        <f>'Отчет_лист 1'!H55</f>
        <v>0</v>
      </c>
      <c r="J48" s="35">
        <f>'Отчет_лист 1'!I55</f>
        <v>0</v>
      </c>
    </row>
    <row r="49" spans="1:10" outlineLevel="1">
      <c r="A49" s="159" t="s">
        <v>109</v>
      </c>
      <c r="B49" s="186" t="s">
        <v>123</v>
      </c>
      <c r="C49" s="159" t="s">
        <v>120</v>
      </c>
      <c r="D49" s="34" t="s">
        <v>78</v>
      </c>
      <c r="E49" s="72">
        <f t="shared" si="0"/>
        <v>286082.8</v>
      </c>
      <c r="F49" s="35">
        <f>SUM(F50:F51)</f>
        <v>0</v>
      </c>
      <c r="G49" s="35">
        <f>SUM(G50:G51)</f>
        <v>76146.7</v>
      </c>
      <c r="H49" s="35">
        <v>93344.1</v>
      </c>
      <c r="I49" s="35">
        <f>'Отчет_лист 1'!H60</f>
        <v>116593</v>
      </c>
      <c r="J49" s="35">
        <f>'Отчет_лист 1'!I60</f>
        <v>116592</v>
      </c>
    </row>
    <row r="50" spans="1:10" outlineLevel="1">
      <c r="A50" s="160"/>
      <c r="B50" s="186"/>
      <c r="C50" s="160"/>
      <c r="D50" s="118" t="s">
        <v>76</v>
      </c>
      <c r="E50" s="72">
        <f t="shared" si="0"/>
        <v>208458.5</v>
      </c>
      <c r="F50" s="35">
        <v>0</v>
      </c>
      <c r="G50" s="35">
        <v>58986.6</v>
      </c>
      <c r="H50" s="35">
        <v>70758.899999999994</v>
      </c>
      <c r="I50" s="35">
        <v>78714</v>
      </c>
      <c r="J50" s="35">
        <v>78713</v>
      </c>
    </row>
    <row r="51" spans="1:10" outlineLevel="1">
      <c r="A51" s="161"/>
      <c r="B51" s="186"/>
      <c r="C51" s="161"/>
      <c r="D51" s="118" t="s">
        <v>77</v>
      </c>
      <c r="E51" s="72">
        <f t="shared" si="0"/>
        <v>77624.3</v>
      </c>
      <c r="F51" s="35">
        <v>0</v>
      </c>
      <c r="G51" s="37">
        <v>17160.099999999999</v>
      </c>
      <c r="H51" s="37">
        <v>22585.200000000001</v>
      </c>
      <c r="I51" s="37">
        <v>37879</v>
      </c>
      <c r="J51" s="37">
        <v>37879</v>
      </c>
    </row>
    <row r="52" spans="1:10" outlineLevel="1">
      <c r="A52" s="159" t="s">
        <v>125</v>
      </c>
      <c r="B52" s="162" t="s">
        <v>178</v>
      </c>
      <c r="C52" s="159" t="s">
        <v>124</v>
      </c>
      <c r="D52" s="118" t="s">
        <v>78</v>
      </c>
      <c r="E52" s="72">
        <f t="shared" si="0"/>
        <v>1949885.7600000002</v>
      </c>
      <c r="F52" s="35">
        <f>SUM(F53:F55)</f>
        <v>0</v>
      </c>
      <c r="G52" s="35">
        <f>SUM(G53:G55)</f>
        <v>549771.20000000007</v>
      </c>
      <c r="H52" s="35">
        <v>318578.5</v>
      </c>
      <c r="I52" s="35">
        <f>'Отчет_лист 1'!H63</f>
        <v>1081713.1000000001</v>
      </c>
      <c r="J52" s="35">
        <f>'Отчет_лист 1'!I63</f>
        <v>1081536.06</v>
      </c>
    </row>
    <row r="53" spans="1:10" outlineLevel="1">
      <c r="A53" s="160"/>
      <c r="B53" s="163"/>
      <c r="C53" s="160"/>
      <c r="D53" s="118" t="s">
        <v>76</v>
      </c>
      <c r="E53" s="72">
        <f t="shared" si="0"/>
        <v>30124.3</v>
      </c>
      <c r="F53" s="35">
        <v>0</v>
      </c>
      <c r="G53" s="35">
        <v>13901.3</v>
      </c>
      <c r="H53" s="35"/>
      <c r="I53" s="35">
        <f>2897.6+13502.4</f>
        <v>16400</v>
      </c>
      <c r="J53" s="35">
        <v>16223</v>
      </c>
    </row>
    <row r="54" spans="1:10" outlineLevel="1">
      <c r="A54" s="160"/>
      <c r="B54" s="163"/>
      <c r="C54" s="160"/>
      <c r="D54" s="118" t="s">
        <v>77</v>
      </c>
      <c r="E54" s="72">
        <f t="shared" si="0"/>
        <v>960598.7</v>
      </c>
      <c r="F54" s="35">
        <v>0</v>
      </c>
      <c r="G54" s="37"/>
      <c r="H54" s="37">
        <v>318578.5</v>
      </c>
      <c r="I54" s="37">
        <f>190276.9+451743.3</f>
        <v>642020.19999999995</v>
      </c>
      <c r="J54" s="37">
        <v>642020.19999999995</v>
      </c>
    </row>
    <row r="55" spans="1:10" outlineLevel="1">
      <c r="A55" s="160"/>
      <c r="B55" s="163"/>
      <c r="C55" s="160"/>
      <c r="D55" s="118" t="s">
        <v>82</v>
      </c>
      <c r="E55" s="72">
        <f t="shared" si="0"/>
        <v>959162.8</v>
      </c>
      <c r="F55" s="35">
        <v>0</v>
      </c>
      <c r="G55" s="37">
        <v>535869.9</v>
      </c>
      <c r="H55" s="37"/>
      <c r="I55" s="37">
        <f>423292.9</f>
        <v>423292.9</v>
      </c>
      <c r="J55" s="37">
        <v>423292.9</v>
      </c>
    </row>
    <row r="56" spans="1:10">
      <c r="A56" s="184" t="s">
        <v>80</v>
      </c>
      <c r="B56" s="184"/>
      <c r="C56" s="172"/>
      <c r="D56" s="34" t="s">
        <v>78</v>
      </c>
      <c r="E56" s="72">
        <f t="shared" si="0"/>
        <v>13667595.5</v>
      </c>
      <c r="F56" s="35">
        <f t="shared" ref="F56:H56" si="19">F60+F64</f>
        <v>2573216.7000000002</v>
      </c>
      <c r="G56" s="35">
        <f t="shared" si="19"/>
        <v>3399820.4000000004</v>
      </c>
      <c r="H56" s="35">
        <f t="shared" si="19"/>
        <v>3284595.3999999994</v>
      </c>
      <c r="I56" s="35">
        <f>I60+I64</f>
        <v>4410241.5</v>
      </c>
      <c r="J56" s="35">
        <f>J60+J64</f>
        <v>4409963</v>
      </c>
    </row>
    <row r="57" spans="1:10">
      <c r="A57" s="184"/>
      <c r="B57" s="184"/>
      <c r="C57" s="173"/>
      <c r="D57" s="118" t="s">
        <v>76</v>
      </c>
      <c r="E57" s="72">
        <f t="shared" si="0"/>
        <v>4368448.4000000004</v>
      </c>
      <c r="F57" s="35">
        <f t="shared" ref="F57:H57" si="20">F61+F65</f>
        <v>809067.2</v>
      </c>
      <c r="G57" s="35">
        <f t="shared" si="20"/>
        <v>995910.60000000009</v>
      </c>
      <c r="H57" s="35">
        <f t="shared" si="20"/>
        <v>1204764.3999999997</v>
      </c>
      <c r="I57" s="35">
        <f>I61+I65</f>
        <v>1358984.7</v>
      </c>
      <c r="J57" s="35">
        <f>J61+J65</f>
        <v>1358706.2000000002</v>
      </c>
    </row>
    <row r="58" spans="1:10">
      <c r="A58" s="184"/>
      <c r="B58" s="184"/>
      <c r="C58" s="173"/>
      <c r="D58" s="118" t="s">
        <v>77</v>
      </c>
      <c r="E58" s="72">
        <f t="shared" si="0"/>
        <v>8338590.7999999998</v>
      </c>
      <c r="F58" s="35">
        <f t="shared" ref="F58:H58" si="21">F62+F66</f>
        <v>1764149.5</v>
      </c>
      <c r="G58" s="35">
        <f t="shared" si="21"/>
        <v>1867664.7</v>
      </c>
      <c r="H58" s="35">
        <f t="shared" si="21"/>
        <v>2079148.7</v>
      </c>
      <c r="I58" s="35">
        <f t="shared" ref="I58:I59" si="22">I62+I66</f>
        <v>2627627.8999999994</v>
      </c>
      <c r="J58" s="35">
        <f t="shared" ref="J58" si="23">J62+J66</f>
        <v>2627627.8999999994</v>
      </c>
    </row>
    <row r="59" spans="1:10">
      <c r="A59" s="184"/>
      <c r="B59" s="184"/>
      <c r="C59" s="174"/>
      <c r="D59" s="118" t="s">
        <v>82</v>
      </c>
      <c r="E59" s="72">
        <f t="shared" si="0"/>
        <v>960556.3</v>
      </c>
      <c r="F59" s="35">
        <f t="shared" ref="F59:H59" si="24">F63+F67</f>
        <v>0</v>
      </c>
      <c r="G59" s="35">
        <f t="shared" si="24"/>
        <v>536245.1</v>
      </c>
      <c r="H59" s="35">
        <f t="shared" si="24"/>
        <v>682.3</v>
      </c>
      <c r="I59" s="35">
        <f t="shared" si="22"/>
        <v>423628.9</v>
      </c>
      <c r="J59" s="35">
        <f t="shared" ref="J59" si="25">J63+J67</f>
        <v>423628.9</v>
      </c>
    </row>
    <row r="60" spans="1:10">
      <c r="A60" s="184"/>
      <c r="B60" s="184"/>
      <c r="C60" s="175" t="s">
        <v>34</v>
      </c>
      <c r="D60" s="81" t="s">
        <v>179</v>
      </c>
      <c r="E60" s="72">
        <f t="shared" si="0"/>
        <v>11717709.700000001</v>
      </c>
      <c r="F60" s="35">
        <f t="shared" ref="F60:H60" si="26">SUM(F61:F63)</f>
        <v>2573216.7000000002</v>
      </c>
      <c r="G60" s="35">
        <f t="shared" si="26"/>
        <v>2850049.2</v>
      </c>
      <c r="H60" s="35">
        <f t="shared" si="26"/>
        <v>2966016.8999999994</v>
      </c>
      <c r="I60" s="35">
        <f>SUM(I61:I63)</f>
        <v>3328528.3999999994</v>
      </c>
      <c r="J60" s="35">
        <f>SUM(J61:J63)</f>
        <v>3328426.9</v>
      </c>
    </row>
    <row r="61" spans="1:10">
      <c r="A61" s="184"/>
      <c r="B61" s="184"/>
      <c r="C61" s="176"/>
      <c r="D61" s="118" t="s">
        <v>76</v>
      </c>
      <c r="E61" s="72">
        <f t="shared" si="0"/>
        <v>4338324.0999999996</v>
      </c>
      <c r="F61" s="35">
        <f t="shared" ref="F61:H61" si="27">F36+F39+F42+F43+F45+F48+F50</f>
        <v>809067.2</v>
      </c>
      <c r="G61" s="35">
        <f t="shared" si="27"/>
        <v>982009.3</v>
      </c>
      <c r="H61" s="35">
        <f t="shared" si="27"/>
        <v>1204764.3999999997</v>
      </c>
      <c r="I61" s="35">
        <f>I36+I39+I42+I43+I45+I48+I50</f>
        <v>1342584.7</v>
      </c>
      <c r="J61" s="35">
        <f>J36+J39+J42+J43+J45+J48+J50</f>
        <v>1342483.2000000002</v>
      </c>
    </row>
    <row r="62" spans="1:10">
      <c r="A62" s="184"/>
      <c r="B62" s="184"/>
      <c r="C62" s="176"/>
      <c r="D62" s="118" t="s">
        <v>77</v>
      </c>
      <c r="E62" s="72">
        <f t="shared" si="0"/>
        <v>7377992.0999999996</v>
      </c>
      <c r="F62" s="35">
        <f t="shared" ref="F62:H62" si="28">F37+F40+F46+F51</f>
        <v>1764149.5</v>
      </c>
      <c r="G62" s="35">
        <f t="shared" si="28"/>
        <v>1867664.7</v>
      </c>
      <c r="H62" s="35">
        <f t="shared" si="28"/>
        <v>1760570.2</v>
      </c>
      <c r="I62" s="35">
        <f>I37+I40+I46+I51</f>
        <v>1985607.6999999997</v>
      </c>
      <c r="J62" s="35">
        <f>J37+J40+J46+J51</f>
        <v>1985607.6999999997</v>
      </c>
    </row>
    <row r="63" spans="1:10">
      <c r="A63" s="184"/>
      <c r="B63" s="184"/>
      <c r="C63" s="177"/>
      <c r="D63" s="118" t="s">
        <v>82</v>
      </c>
      <c r="E63" s="72">
        <f t="shared" si="0"/>
        <v>1393.5</v>
      </c>
      <c r="F63" s="35">
        <f t="shared" ref="F63:H63" si="29">F41+F47</f>
        <v>0</v>
      </c>
      <c r="G63" s="35">
        <f t="shared" si="29"/>
        <v>375.2</v>
      </c>
      <c r="H63" s="35">
        <f t="shared" si="29"/>
        <v>682.3</v>
      </c>
      <c r="I63" s="35">
        <f>I41+I47</f>
        <v>336</v>
      </c>
      <c r="J63" s="35">
        <f>J41+J47</f>
        <v>336</v>
      </c>
    </row>
    <row r="64" spans="1:10">
      <c r="A64" s="184"/>
      <c r="B64" s="184"/>
      <c r="C64" s="159" t="s">
        <v>124</v>
      </c>
      <c r="D64" s="46" t="s">
        <v>179</v>
      </c>
      <c r="E64" s="72">
        <f t="shared" si="0"/>
        <v>1949885.8000000003</v>
      </c>
      <c r="F64" s="35">
        <f t="shared" ref="F64:H64" si="30">SUM(F65:F67)</f>
        <v>0</v>
      </c>
      <c r="G64" s="35">
        <f t="shared" si="30"/>
        <v>549771.20000000007</v>
      </c>
      <c r="H64" s="35">
        <f t="shared" si="30"/>
        <v>318578.5</v>
      </c>
      <c r="I64" s="35">
        <f>SUM(I65:I67)</f>
        <v>1081713.1000000001</v>
      </c>
      <c r="J64" s="35">
        <f>SUM(J65:J67)</f>
        <v>1081536.1000000001</v>
      </c>
    </row>
    <row r="65" spans="1:10">
      <c r="A65" s="184"/>
      <c r="B65" s="184"/>
      <c r="C65" s="160"/>
      <c r="D65" s="118" t="s">
        <v>76</v>
      </c>
      <c r="E65" s="72">
        <f t="shared" si="0"/>
        <v>30124.3</v>
      </c>
      <c r="F65" s="35">
        <f t="shared" ref="F65:H65" si="31">F53</f>
        <v>0</v>
      </c>
      <c r="G65" s="35">
        <f t="shared" si="31"/>
        <v>13901.3</v>
      </c>
      <c r="H65" s="35">
        <f t="shared" si="31"/>
        <v>0</v>
      </c>
      <c r="I65" s="35">
        <f>I53</f>
        <v>16400</v>
      </c>
      <c r="J65" s="35">
        <f>J53</f>
        <v>16223</v>
      </c>
    </row>
    <row r="66" spans="1:10">
      <c r="A66" s="184"/>
      <c r="B66" s="184"/>
      <c r="C66" s="160"/>
      <c r="D66" s="118" t="s">
        <v>77</v>
      </c>
      <c r="E66" s="72">
        <f t="shared" si="0"/>
        <v>960598.7</v>
      </c>
      <c r="F66" s="35">
        <f t="shared" ref="F66:H66" si="32">F54</f>
        <v>0</v>
      </c>
      <c r="G66" s="35">
        <f t="shared" si="32"/>
        <v>0</v>
      </c>
      <c r="H66" s="35">
        <f t="shared" si="32"/>
        <v>318578.5</v>
      </c>
      <c r="I66" s="35">
        <f t="shared" ref="I66:I67" si="33">I54</f>
        <v>642020.19999999995</v>
      </c>
      <c r="J66" s="35">
        <f t="shared" ref="J66" si="34">J54</f>
        <v>642020.19999999995</v>
      </c>
    </row>
    <row r="67" spans="1:10">
      <c r="A67" s="184"/>
      <c r="B67" s="184"/>
      <c r="C67" s="115"/>
      <c r="D67" s="118" t="s">
        <v>82</v>
      </c>
      <c r="E67" s="72">
        <f t="shared" si="0"/>
        <v>959162.8</v>
      </c>
      <c r="F67" s="35">
        <f t="shared" ref="F67:H67" si="35">F55</f>
        <v>0</v>
      </c>
      <c r="G67" s="35">
        <f t="shared" si="35"/>
        <v>535869.9</v>
      </c>
      <c r="H67" s="35">
        <f t="shared" si="35"/>
        <v>0</v>
      </c>
      <c r="I67" s="35">
        <f t="shared" si="33"/>
        <v>423292.9</v>
      </c>
      <c r="J67" s="35">
        <f t="shared" ref="J67" si="36">J55</f>
        <v>423292.9</v>
      </c>
    </row>
    <row r="68" spans="1:10" s="48" customFormat="1" ht="56.25" customHeight="1">
      <c r="A68" s="156" t="s">
        <v>107</v>
      </c>
      <c r="B68" s="157"/>
      <c r="C68" s="157"/>
      <c r="D68" s="158"/>
      <c r="E68" s="45">
        <f t="shared" si="0"/>
        <v>752683.86248000013</v>
      </c>
      <c r="F68" s="53">
        <f>F69+F72+F76</f>
        <v>116057.60000000001</v>
      </c>
      <c r="G68" s="53">
        <v>283567.2</v>
      </c>
      <c r="H68" s="53">
        <v>290459.40000000002</v>
      </c>
      <c r="I68" s="53">
        <f>'Отчет_лист 1'!H66</f>
        <v>62700.000000000007</v>
      </c>
      <c r="J68" s="53">
        <f>'Отчет_лист 1'!I66</f>
        <v>62599.662479999999</v>
      </c>
    </row>
    <row r="69" spans="1:10" outlineLevel="1">
      <c r="A69" s="171" t="s">
        <v>125</v>
      </c>
      <c r="B69" s="186" t="s">
        <v>81</v>
      </c>
      <c r="C69" s="171" t="s">
        <v>130</v>
      </c>
      <c r="D69" s="34" t="s">
        <v>78</v>
      </c>
      <c r="E69" s="72">
        <f t="shared" si="0"/>
        <v>217321.36247999998</v>
      </c>
      <c r="F69" s="35">
        <v>25490.3</v>
      </c>
      <c r="G69" s="35">
        <v>64780.4</v>
      </c>
      <c r="H69" s="35">
        <v>64553.399999999994</v>
      </c>
      <c r="I69" s="35">
        <f>'Отчет_лист 1'!H67</f>
        <v>62597.600000000006</v>
      </c>
      <c r="J69" s="35">
        <f>'Отчет_лист 1'!I67</f>
        <v>62497.262479999998</v>
      </c>
    </row>
    <row r="70" spans="1:10" outlineLevel="1">
      <c r="A70" s="171"/>
      <c r="B70" s="186"/>
      <c r="C70" s="171"/>
      <c r="D70" s="118" t="s">
        <v>76</v>
      </c>
      <c r="E70" s="72">
        <f t="shared" si="0"/>
        <v>117275.814</v>
      </c>
      <c r="F70" s="35">
        <v>25490.3</v>
      </c>
      <c r="G70" s="35">
        <v>30807.200000000001</v>
      </c>
      <c r="H70" s="35">
        <v>33041.199999999997</v>
      </c>
      <c r="I70" s="35">
        <v>28037.200000000001</v>
      </c>
      <c r="J70" s="35">
        <f>27937.7-0.586</f>
        <v>27937.114000000001</v>
      </c>
    </row>
    <row r="71" spans="1:10" outlineLevel="1">
      <c r="A71" s="171"/>
      <c r="B71" s="186"/>
      <c r="C71" s="171"/>
      <c r="D71" s="118" t="s">
        <v>77</v>
      </c>
      <c r="E71" s="72">
        <f t="shared" si="0"/>
        <v>100045.60434999999</v>
      </c>
      <c r="F71" s="35">
        <v>0</v>
      </c>
      <c r="G71" s="35">
        <v>33973.199999999997</v>
      </c>
      <c r="H71" s="35">
        <v>31512.2</v>
      </c>
      <c r="I71" s="35">
        <v>34560.400000000001</v>
      </c>
      <c r="J71" s="35">
        <f>34107.61835+452+0.586</f>
        <v>34560.20435</v>
      </c>
    </row>
    <row r="72" spans="1:10" ht="72" outlineLevel="1">
      <c r="A72" s="116" t="s">
        <v>126</v>
      </c>
      <c r="B72" s="117" t="s">
        <v>127</v>
      </c>
      <c r="C72" s="116" t="s">
        <v>113</v>
      </c>
      <c r="D72" s="118" t="s">
        <v>76</v>
      </c>
      <c r="E72" s="72">
        <f t="shared" si="0"/>
        <v>11515.9</v>
      </c>
      <c r="F72" s="35">
        <v>5305.3</v>
      </c>
      <c r="G72" s="35">
        <v>4000</v>
      </c>
      <c r="H72" s="35">
        <v>2182.6999999999998</v>
      </c>
      <c r="I72" s="35">
        <f>'Отчет_лист 1'!H75</f>
        <v>27.9</v>
      </c>
      <c r="J72" s="35">
        <f>'Отчет_лист 1'!I75</f>
        <v>27.9</v>
      </c>
    </row>
    <row r="73" spans="1:10" ht="54" outlineLevel="1">
      <c r="A73" s="116" t="s">
        <v>128</v>
      </c>
      <c r="B73" s="117" t="s">
        <v>129</v>
      </c>
      <c r="C73" s="116" t="s">
        <v>113</v>
      </c>
      <c r="D73" s="118" t="s">
        <v>76</v>
      </c>
      <c r="E73" s="72">
        <f t="shared" si="0"/>
        <v>172.5</v>
      </c>
      <c r="F73" s="35">
        <v>0</v>
      </c>
      <c r="G73" s="35">
        <v>98</v>
      </c>
      <c r="H73" s="35">
        <v>0</v>
      </c>
      <c r="I73" s="35">
        <f>'Отчет_лист 1'!H76</f>
        <v>74.5</v>
      </c>
      <c r="J73" s="35">
        <f>'Отчет_лист 1'!I76</f>
        <v>74.5</v>
      </c>
    </row>
    <row r="74" spans="1:10" ht="54" outlineLevel="1">
      <c r="A74" s="116" t="s">
        <v>131</v>
      </c>
      <c r="B74" s="117" t="s">
        <v>132</v>
      </c>
      <c r="C74" s="116" t="s">
        <v>113</v>
      </c>
      <c r="D74" s="118" t="s">
        <v>76</v>
      </c>
      <c r="E74" s="72">
        <f t="shared" si="0"/>
        <v>924.4</v>
      </c>
      <c r="F74" s="35">
        <v>0</v>
      </c>
      <c r="G74" s="35">
        <v>924.4</v>
      </c>
      <c r="H74" s="35">
        <v>0</v>
      </c>
      <c r="I74" s="35">
        <v>0</v>
      </c>
      <c r="J74" s="35">
        <v>0</v>
      </c>
    </row>
    <row r="75" spans="1:10" ht="72" outlineLevel="1">
      <c r="A75" s="116" t="s">
        <v>133</v>
      </c>
      <c r="B75" s="117" t="s">
        <v>144</v>
      </c>
      <c r="C75" s="116" t="s">
        <v>113</v>
      </c>
      <c r="D75" s="118" t="s">
        <v>76</v>
      </c>
      <c r="E75" s="72">
        <f t="shared" si="0"/>
        <v>100</v>
      </c>
      <c r="F75" s="35">
        <v>0</v>
      </c>
      <c r="G75" s="35">
        <v>0</v>
      </c>
      <c r="H75" s="35">
        <v>100</v>
      </c>
      <c r="I75" s="35">
        <f>'Отчет_лист 1'!H78</f>
        <v>0</v>
      </c>
      <c r="J75" s="35">
        <f>'Отчет_лист 1'!I78</f>
        <v>0</v>
      </c>
    </row>
    <row r="76" spans="1:10" ht="18.75" customHeight="1" outlineLevel="1">
      <c r="A76" s="171" t="s">
        <v>134</v>
      </c>
      <c r="B76" s="186" t="s">
        <v>38</v>
      </c>
      <c r="C76" s="34"/>
      <c r="D76" s="34" t="s">
        <v>78</v>
      </c>
      <c r="E76" s="72">
        <f t="shared" si="0"/>
        <v>522649.70000000007</v>
      </c>
      <c r="F76" s="35">
        <v>85262</v>
      </c>
      <c r="G76" s="35">
        <v>213764.40000000002</v>
      </c>
      <c r="H76" s="35">
        <v>223623.30000000002</v>
      </c>
      <c r="I76" s="35">
        <v>0</v>
      </c>
      <c r="J76" s="35">
        <v>0</v>
      </c>
    </row>
    <row r="77" spans="1:10" outlineLevel="1">
      <c r="A77" s="171"/>
      <c r="B77" s="186"/>
      <c r="C77" s="46" t="s">
        <v>137</v>
      </c>
      <c r="D77" s="118" t="s">
        <v>76</v>
      </c>
      <c r="E77" s="72">
        <f t="shared" si="0"/>
        <v>266913.40000000002</v>
      </c>
      <c r="F77" s="35">
        <v>85262</v>
      </c>
      <c r="G77" s="35">
        <v>87264.5</v>
      </c>
      <c r="H77" s="35">
        <v>94386.9</v>
      </c>
      <c r="I77" s="35">
        <v>0</v>
      </c>
      <c r="J77" s="35">
        <v>0</v>
      </c>
    </row>
    <row r="78" spans="1:10" outlineLevel="1">
      <c r="A78" s="171"/>
      <c r="B78" s="186"/>
      <c r="C78" s="159" t="s">
        <v>138</v>
      </c>
      <c r="D78" s="118" t="s">
        <v>77</v>
      </c>
      <c r="E78" s="72">
        <f t="shared" si="0"/>
        <v>248914.6</v>
      </c>
      <c r="F78" s="35">
        <v>0</v>
      </c>
      <c r="G78" s="35">
        <v>123338.6</v>
      </c>
      <c r="H78" s="35">
        <v>125576</v>
      </c>
      <c r="I78" s="35">
        <v>0</v>
      </c>
      <c r="J78" s="35">
        <v>0</v>
      </c>
    </row>
    <row r="79" spans="1:10" outlineLevel="1">
      <c r="A79" s="171"/>
      <c r="B79" s="186"/>
      <c r="C79" s="161"/>
      <c r="D79" s="36" t="s">
        <v>82</v>
      </c>
      <c r="E79" s="72">
        <f t="shared" si="0"/>
        <v>6821.7000000000007</v>
      </c>
      <c r="F79" s="35">
        <v>0</v>
      </c>
      <c r="G79" s="35">
        <v>3161.3</v>
      </c>
      <c r="H79" s="35">
        <v>3660.4</v>
      </c>
      <c r="I79" s="37">
        <v>0</v>
      </c>
      <c r="J79" s="37">
        <v>0</v>
      </c>
    </row>
    <row r="80" spans="1:10">
      <c r="A80" s="185" t="s">
        <v>83</v>
      </c>
      <c r="B80" s="185"/>
      <c r="C80" s="126" t="s">
        <v>139</v>
      </c>
      <c r="D80" s="34" t="s">
        <v>78</v>
      </c>
      <c r="E80" s="72">
        <f t="shared" si="0"/>
        <v>752683.91835000005</v>
      </c>
      <c r="F80" s="35">
        <f t="shared" ref="F80:H80" si="37">SUM(F81:F83)</f>
        <v>116057.60000000001</v>
      </c>
      <c r="G80" s="35">
        <f t="shared" si="37"/>
        <v>283567.2</v>
      </c>
      <c r="H80" s="35">
        <f t="shared" si="37"/>
        <v>290459.40000000002</v>
      </c>
      <c r="I80" s="35">
        <f>SUM(I81:I83)</f>
        <v>62700</v>
      </c>
      <c r="J80" s="35">
        <f>SUM(J81:J83)</f>
        <v>62599.718350000003</v>
      </c>
    </row>
    <row r="81" spans="1:10">
      <c r="A81" s="185"/>
      <c r="B81" s="185"/>
      <c r="C81" s="127"/>
      <c r="D81" s="118" t="s">
        <v>76</v>
      </c>
      <c r="E81" s="72">
        <f t="shared" si="0"/>
        <v>396902.01400000002</v>
      </c>
      <c r="F81" s="35">
        <f>F70+F72+F73+F74+F75+F77</f>
        <v>116057.60000000001</v>
      </c>
      <c r="G81" s="35">
        <f>G70+G72+G73+G74+G75+G77</f>
        <v>123094.1</v>
      </c>
      <c r="H81" s="35">
        <f>H70+H72+H73+H74+H75+H77</f>
        <v>129710.79999999999</v>
      </c>
      <c r="I81" s="35">
        <f>I70+I72+I73+I74+I75+I77</f>
        <v>28139.600000000002</v>
      </c>
      <c r="J81" s="35">
        <f>J70+J72+J73+J74+J75+J77</f>
        <v>28039.514000000003</v>
      </c>
    </row>
    <row r="82" spans="1:10">
      <c r="A82" s="185"/>
      <c r="B82" s="185"/>
      <c r="C82" s="127"/>
      <c r="D82" s="118" t="s">
        <v>77</v>
      </c>
      <c r="E82" s="72">
        <f t="shared" ref="E82:E83" si="38">F82+G82+H82+J82</f>
        <v>348960.20435000001</v>
      </c>
      <c r="F82" s="35">
        <f>F71+F78</f>
        <v>0</v>
      </c>
      <c r="G82" s="35">
        <f>G71+G78</f>
        <v>157311.79999999999</v>
      </c>
      <c r="H82" s="35">
        <f>H71+H78</f>
        <v>157088.20000000001</v>
      </c>
      <c r="I82" s="35">
        <f>I71+I78</f>
        <v>34560.400000000001</v>
      </c>
      <c r="J82" s="35">
        <f t="shared" ref="J82" si="39">J71+J78</f>
        <v>34560.20435</v>
      </c>
    </row>
    <row r="83" spans="1:10">
      <c r="A83" s="185"/>
      <c r="B83" s="185"/>
      <c r="C83" s="128"/>
      <c r="D83" s="36" t="s">
        <v>82</v>
      </c>
      <c r="E83" s="72">
        <f t="shared" si="38"/>
        <v>6821.7000000000007</v>
      </c>
      <c r="F83" s="35">
        <f>F79</f>
        <v>0</v>
      </c>
      <c r="G83" s="35">
        <f>G79</f>
        <v>3161.3</v>
      </c>
      <c r="H83" s="35">
        <f>H79</f>
        <v>3660.4</v>
      </c>
      <c r="I83" s="35">
        <f>I79</f>
        <v>0</v>
      </c>
      <c r="J83" s="35">
        <f t="shared" ref="J83" si="40">J79</f>
        <v>0</v>
      </c>
    </row>
    <row r="84" spans="1:10" s="48" customFormat="1" ht="37.5" customHeight="1">
      <c r="A84" s="156" t="s">
        <v>136</v>
      </c>
      <c r="B84" s="157"/>
      <c r="C84" s="157"/>
      <c r="D84" s="158"/>
      <c r="E84" s="45">
        <f t="shared" ref="E84:E105" si="41">F84+G84+H84+J84</f>
        <v>364407.16729999997</v>
      </c>
      <c r="F84" s="53">
        <f t="shared" ref="F84:F85" si="42">F80</f>
        <v>116057.60000000001</v>
      </c>
      <c r="G84" s="53">
        <v>35779.5</v>
      </c>
      <c r="H84" s="53">
        <v>36697.599999999999</v>
      </c>
      <c r="I84" s="53">
        <f>'Отчет_лист 1'!H85</f>
        <v>176131.7</v>
      </c>
      <c r="J84" s="53">
        <f>'Отчет_лист 1'!I85</f>
        <v>175872.46729999999</v>
      </c>
    </row>
    <row r="85" spans="1:10">
      <c r="A85" s="159" t="s">
        <v>146</v>
      </c>
      <c r="B85" s="162" t="s">
        <v>135</v>
      </c>
      <c r="C85" s="159" t="s">
        <v>138</v>
      </c>
      <c r="D85" s="34" t="s">
        <v>78</v>
      </c>
      <c r="E85" s="72">
        <f t="shared" si="41"/>
        <v>364407.16729999997</v>
      </c>
      <c r="F85" s="35">
        <f t="shared" si="42"/>
        <v>116057.60000000001</v>
      </c>
      <c r="G85" s="35">
        <v>35779.5</v>
      </c>
      <c r="H85" s="35">
        <v>36697.599999999999</v>
      </c>
      <c r="I85" s="35">
        <f>SUM(I86:I88)</f>
        <v>176131.7</v>
      </c>
      <c r="J85" s="35">
        <f>SUM(J86:J88)</f>
        <v>175872.46729999999</v>
      </c>
    </row>
    <row r="86" spans="1:10">
      <c r="A86" s="160"/>
      <c r="B86" s="163"/>
      <c r="C86" s="160"/>
      <c r="D86" s="118" t="s">
        <v>76</v>
      </c>
      <c r="E86" s="72">
        <f t="shared" si="41"/>
        <v>88235.570749999999</v>
      </c>
      <c r="F86" s="35">
        <f>F82</f>
        <v>0</v>
      </c>
      <c r="G86" s="35">
        <v>28832</v>
      </c>
      <c r="H86" s="35">
        <v>29750.054</v>
      </c>
      <c r="I86" s="35">
        <f>29583.7+300</f>
        <v>29883.7</v>
      </c>
      <c r="J86" s="35">
        <f>29353.59794+299.91881</f>
        <v>29653.516749999999</v>
      </c>
    </row>
    <row r="87" spans="1:10">
      <c r="A87" s="160"/>
      <c r="B87" s="163"/>
      <c r="C87" s="160"/>
      <c r="D87" s="118" t="s">
        <v>77</v>
      </c>
      <c r="E87" s="72">
        <f t="shared" si="41"/>
        <v>156733.62811999998</v>
      </c>
      <c r="F87" s="35">
        <f>F83</f>
        <v>0</v>
      </c>
      <c r="G87" s="35">
        <v>6947.5</v>
      </c>
      <c r="H87" s="35">
        <v>6947.5</v>
      </c>
      <c r="I87" s="35">
        <f>6951.4+135916.2</f>
        <v>142867.6</v>
      </c>
      <c r="J87" s="35">
        <f>6947.5+3.735+55673.6+66046.15002+14167.6431</f>
        <v>142838.62811999998</v>
      </c>
    </row>
    <row r="88" spans="1:10">
      <c r="A88" s="161"/>
      <c r="B88" s="164"/>
      <c r="C88" s="161"/>
      <c r="D88" s="31" t="s">
        <v>82</v>
      </c>
      <c r="E88" s="72">
        <f t="shared" si="41"/>
        <v>3380.3224300000002</v>
      </c>
      <c r="F88" s="82">
        <v>0</v>
      </c>
      <c r="G88" s="82">
        <v>0</v>
      </c>
      <c r="H88" s="82">
        <v>0</v>
      </c>
      <c r="I88" s="35">
        <f>3380.4</f>
        <v>3380.4</v>
      </c>
      <c r="J88" s="82">
        <v>3380.3224300000002</v>
      </c>
    </row>
    <row r="89" spans="1:10" s="48" customFormat="1" ht="37.5" customHeight="1">
      <c r="A89" s="156" t="s">
        <v>201</v>
      </c>
      <c r="B89" s="157"/>
      <c r="C89" s="157"/>
      <c r="D89" s="158"/>
      <c r="E89" s="45">
        <f t="shared" ref="E89:E93" si="43">F89+G89+H89+J89</f>
        <v>283000.11845000001</v>
      </c>
      <c r="F89" s="53">
        <f t="shared" ref="F89" si="44">F85</f>
        <v>116057.60000000001</v>
      </c>
      <c r="G89" s="53">
        <v>35779.5</v>
      </c>
      <c r="H89" s="53">
        <v>36697.599999999999</v>
      </c>
      <c r="I89" s="53">
        <f>'Отчет_лист 1'!H93</f>
        <v>94520.540000000008</v>
      </c>
      <c r="J89" s="53">
        <f>'Отчет_лист 1'!I93</f>
        <v>94465.418450000012</v>
      </c>
    </row>
    <row r="90" spans="1:10">
      <c r="A90" s="159" t="s">
        <v>146</v>
      </c>
      <c r="B90" s="162" t="s">
        <v>135</v>
      </c>
      <c r="C90" s="159" t="s">
        <v>138</v>
      </c>
      <c r="D90" s="34" t="s">
        <v>78</v>
      </c>
      <c r="E90" s="72">
        <f t="shared" si="43"/>
        <v>166942.51845000003</v>
      </c>
      <c r="F90" s="35">
        <f>SUM(F91:F92)</f>
        <v>0</v>
      </c>
      <c r="G90" s="35">
        <f>SUM(G91:G92)</f>
        <v>35779.5</v>
      </c>
      <c r="H90" s="35">
        <f>SUM(H91:H92)</f>
        <v>36697.599999999999</v>
      </c>
      <c r="I90" s="35">
        <f>SUM(I91:I92)</f>
        <v>94520.540000000008</v>
      </c>
      <c r="J90" s="35">
        <f>'Отчет_лист 1'!I94</f>
        <v>94465.418450000012</v>
      </c>
    </row>
    <row r="91" spans="1:10">
      <c r="A91" s="160"/>
      <c r="B91" s="163"/>
      <c r="C91" s="160"/>
      <c r="D91" s="118" t="s">
        <v>76</v>
      </c>
      <c r="E91" s="72">
        <f t="shared" si="43"/>
        <v>166556.46745</v>
      </c>
      <c r="F91" s="35">
        <v>0</v>
      </c>
      <c r="G91" s="35">
        <v>35779.5</v>
      </c>
      <c r="H91" s="35">
        <v>36697.599999999999</v>
      </c>
      <c r="I91" s="35">
        <v>94134.489000000001</v>
      </c>
      <c r="J91" s="35">
        <v>94079.367450000005</v>
      </c>
    </row>
    <row r="92" spans="1:10">
      <c r="A92" s="160"/>
      <c r="B92" s="163"/>
      <c r="C92" s="160"/>
      <c r="D92" s="118" t="s">
        <v>77</v>
      </c>
      <c r="E92" s="72">
        <f t="shared" si="43"/>
        <v>386.05100000000004</v>
      </c>
      <c r="F92" s="35">
        <v>0</v>
      </c>
      <c r="G92" s="35">
        <v>0</v>
      </c>
      <c r="H92" s="35">
        <v>0</v>
      </c>
      <c r="I92" s="35">
        <f>8.451+377.6</f>
        <v>386.05100000000004</v>
      </c>
      <c r="J92" s="35">
        <f>8.451+377.6</f>
        <v>386.05100000000004</v>
      </c>
    </row>
    <row r="93" spans="1:10">
      <c r="A93" s="161"/>
      <c r="B93" s="164"/>
      <c r="C93" s="161"/>
      <c r="D93" s="31" t="s">
        <v>82</v>
      </c>
      <c r="E93" s="72">
        <f t="shared" si="43"/>
        <v>0</v>
      </c>
      <c r="F93" s="82">
        <v>0</v>
      </c>
      <c r="G93" s="82">
        <v>0</v>
      </c>
      <c r="H93" s="82">
        <v>0</v>
      </c>
      <c r="I93" s="35">
        <v>0</v>
      </c>
      <c r="J93" s="35"/>
    </row>
    <row r="94" spans="1:10" s="48" customFormat="1" ht="17.399999999999999">
      <c r="A94" s="178" t="s">
        <v>84</v>
      </c>
      <c r="B94" s="179"/>
      <c r="C94" s="171"/>
      <c r="D94" s="33" t="s">
        <v>78</v>
      </c>
      <c r="E94" s="45">
        <f t="shared" si="41"/>
        <v>23975867.626960002</v>
      </c>
      <c r="F94" s="53">
        <f t="shared" ref="F94:H94" si="45">F95+F96+F97</f>
        <v>4485045.8</v>
      </c>
      <c r="G94" s="53">
        <f t="shared" si="45"/>
        <v>5840670</v>
      </c>
      <c r="H94" s="53">
        <f t="shared" si="45"/>
        <v>5923136.9540000008</v>
      </c>
      <c r="I94" s="53">
        <f>I95+I96+I97</f>
        <v>7761874.04</v>
      </c>
      <c r="J94" s="53">
        <f>J95+J96+J97</f>
        <v>7727014.8729600003</v>
      </c>
    </row>
    <row r="95" spans="1:10">
      <c r="A95" s="180"/>
      <c r="B95" s="181"/>
      <c r="C95" s="171"/>
      <c r="D95" s="118" t="s">
        <v>76</v>
      </c>
      <c r="E95" s="45">
        <f t="shared" si="41"/>
        <v>9499297.8937999997</v>
      </c>
      <c r="F95" s="53">
        <f t="shared" ref="F95:H95" si="46">F99+F103</f>
        <v>1980016</v>
      </c>
      <c r="G95" s="53">
        <f t="shared" si="46"/>
        <v>2446433.1999999997</v>
      </c>
      <c r="H95" s="53">
        <f t="shared" si="46"/>
        <v>2482730.9539999999</v>
      </c>
      <c r="I95" s="53">
        <f t="shared" ref="I95" si="47">I99+I103</f>
        <v>2592836.6890000002</v>
      </c>
      <c r="J95" s="53">
        <f t="shared" ref="J95" si="48">J99+J103</f>
        <v>2590117.7398000001</v>
      </c>
    </row>
    <row r="96" spans="1:10">
      <c r="A96" s="180"/>
      <c r="B96" s="181"/>
      <c r="C96" s="171"/>
      <c r="D96" s="118" t="s">
        <v>77</v>
      </c>
      <c r="E96" s="45">
        <f t="shared" si="41"/>
        <v>13200297.710729999</v>
      </c>
      <c r="F96" s="53">
        <f t="shared" ref="F96:H96" si="49">F100+F104</f>
        <v>2505029.7999999998</v>
      </c>
      <c r="G96" s="53">
        <f t="shared" si="49"/>
        <v>2854830.4</v>
      </c>
      <c r="H96" s="53">
        <f t="shared" si="49"/>
        <v>3436063.3000000003</v>
      </c>
      <c r="I96" s="53">
        <f t="shared" ref="I96" si="50">I100+I104</f>
        <v>4436514.3509999998</v>
      </c>
      <c r="J96" s="53">
        <f t="shared" ref="J96" si="51">J100+J104</f>
        <v>4404374.2107299995</v>
      </c>
    </row>
    <row r="97" spans="1:10">
      <c r="A97" s="180"/>
      <c r="B97" s="181"/>
      <c r="C97" s="171"/>
      <c r="D97" s="36" t="s">
        <v>82</v>
      </c>
      <c r="E97" s="45">
        <f t="shared" si="41"/>
        <v>1276272.0224299999</v>
      </c>
      <c r="F97" s="60">
        <f t="shared" ref="F97:H97" si="52">F101+F105</f>
        <v>0</v>
      </c>
      <c r="G97" s="60">
        <f t="shared" si="52"/>
        <v>539406.4</v>
      </c>
      <c r="H97" s="60">
        <f t="shared" si="52"/>
        <v>4342.7</v>
      </c>
      <c r="I97" s="60">
        <f t="shared" ref="I97" si="53">I101+I105</f>
        <v>732523</v>
      </c>
      <c r="J97" s="60">
        <f t="shared" ref="J97" si="54">J101+J105</f>
        <v>732522.92243000004</v>
      </c>
    </row>
    <row r="98" spans="1:10">
      <c r="A98" s="180"/>
      <c r="B98" s="181"/>
      <c r="C98" s="171" t="s">
        <v>34</v>
      </c>
      <c r="D98" s="34" t="s">
        <v>78</v>
      </c>
      <c r="E98" s="45">
        <f t="shared" si="41"/>
        <v>21457546.986960001</v>
      </c>
      <c r="F98" s="60">
        <f t="shared" ref="F98:H98" si="55">SUM(F99:F101)</f>
        <v>4485045.8</v>
      </c>
      <c r="G98" s="60">
        <f t="shared" si="55"/>
        <v>5290898.8</v>
      </c>
      <c r="H98" s="60">
        <f t="shared" si="55"/>
        <v>5604558.4540000008</v>
      </c>
      <c r="I98" s="60">
        <f>SUM(I99:I101)</f>
        <v>6078012.9400000004</v>
      </c>
      <c r="J98" s="60">
        <f>SUM(J99:J101)</f>
        <v>6077043.9329599999</v>
      </c>
    </row>
    <row r="99" spans="1:10">
      <c r="A99" s="180"/>
      <c r="B99" s="181"/>
      <c r="C99" s="171"/>
      <c r="D99" s="118" t="s">
        <v>76</v>
      </c>
      <c r="E99" s="45">
        <f t="shared" si="41"/>
        <v>9437909.7638000008</v>
      </c>
      <c r="F99" s="53">
        <f t="shared" ref="F99:H99" si="56">F28+F61+F81+F86+F91</f>
        <v>1980016</v>
      </c>
      <c r="G99" s="53">
        <f t="shared" si="56"/>
        <v>2432531.9</v>
      </c>
      <c r="H99" s="53">
        <f t="shared" si="56"/>
        <v>2482730.9539999999</v>
      </c>
      <c r="I99" s="53">
        <f>I28+I61+I81+I86+I91</f>
        <v>2543316.8890000004</v>
      </c>
      <c r="J99" s="53">
        <f>J28+J61+J81+J86+J91</f>
        <v>2542630.9098</v>
      </c>
    </row>
    <row r="100" spans="1:10">
      <c r="A100" s="180"/>
      <c r="B100" s="181"/>
      <c r="C100" s="171"/>
      <c r="D100" s="118" t="s">
        <v>77</v>
      </c>
      <c r="E100" s="45">
        <f t="shared" si="41"/>
        <v>12008041.70073</v>
      </c>
      <c r="F100" s="53">
        <f t="shared" ref="F100:H100" si="57">F29+F62+F82+F87+F92</f>
        <v>2505029.7999999998</v>
      </c>
      <c r="G100" s="53">
        <f t="shared" si="57"/>
        <v>2854830.4</v>
      </c>
      <c r="H100" s="53">
        <f t="shared" si="57"/>
        <v>3117484.8000000003</v>
      </c>
      <c r="I100" s="53">
        <f>I29+I62+I82+I87+I92</f>
        <v>3530979.6509999996</v>
      </c>
      <c r="J100" s="53">
        <f>J29+J62+J82+J87+J92</f>
        <v>3530696.7007299997</v>
      </c>
    </row>
    <row r="101" spans="1:10">
      <c r="A101" s="180"/>
      <c r="B101" s="181"/>
      <c r="C101" s="171"/>
      <c r="D101" s="36" t="s">
        <v>82</v>
      </c>
      <c r="E101" s="45">
        <f t="shared" si="41"/>
        <v>11595.522430000001</v>
      </c>
      <c r="F101" s="60">
        <f t="shared" ref="F101:H101" si="58">F63+F83+F88</f>
        <v>0</v>
      </c>
      <c r="G101" s="60">
        <f t="shared" si="58"/>
        <v>3536.5</v>
      </c>
      <c r="H101" s="60">
        <f t="shared" si="58"/>
        <v>4342.7</v>
      </c>
      <c r="I101" s="60">
        <f>I63+I83+I88</f>
        <v>3716.4</v>
      </c>
      <c r="J101" s="60">
        <f>J63+J83+J88</f>
        <v>3716.3224300000002</v>
      </c>
    </row>
    <row r="102" spans="1:10">
      <c r="A102" s="180"/>
      <c r="B102" s="181"/>
      <c r="C102" s="171" t="s">
        <v>124</v>
      </c>
      <c r="D102" s="47" t="s">
        <v>78</v>
      </c>
      <c r="E102" s="45">
        <f t="shared" si="41"/>
        <v>2518320.64</v>
      </c>
      <c r="F102" s="60">
        <f t="shared" ref="F102:H102" si="59">SUM(F103:F105)</f>
        <v>0</v>
      </c>
      <c r="G102" s="60">
        <f t="shared" si="59"/>
        <v>549771.20000000007</v>
      </c>
      <c r="H102" s="60">
        <f t="shared" si="59"/>
        <v>318578.5</v>
      </c>
      <c r="I102" s="60">
        <f>SUM(I103:I105)</f>
        <v>1683861.1</v>
      </c>
      <c r="J102" s="60">
        <f>SUM(J103:J105)</f>
        <v>1649970.94</v>
      </c>
    </row>
    <row r="103" spans="1:10">
      <c r="A103" s="180"/>
      <c r="B103" s="181"/>
      <c r="C103" s="171"/>
      <c r="D103" s="118" t="s">
        <v>76</v>
      </c>
      <c r="E103" s="45">
        <f t="shared" si="41"/>
        <v>61388.130000000005</v>
      </c>
      <c r="F103" s="60">
        <f t="shared" ref="F103:H103" si="60">F31+F65</f>
        <v>0</v>
      </c>
      <c r="G103" s="60">
        <f t="shared" si="60"/>
        <v>13901.3</v>
      </c>
      <c r="H103" s="60">
        <f t="shared" si="60"/>
        <v>0</v>
      </c>
      <c r="I103" s="60">
        <f t="shared" ref="I103:J105" si="61">I31+I65</f>
        <v>49519.8</v>
      </c>
      <c r="J103" s="60">
        <f t="shared" si="61"/>
        <v>47486.83</v>
      </c>
    </row>
    <row r="104" spans="1:10">
      <c r="A104" s="180"/>
      <c r="B104" s="181"/>
      <c r="C104" s="171"/>
      <c r="D104" s="118" t="s">
        <v>77</v>
      </c>
      <c r="E104" s="45">
        <f t="shared" si="41"/>
        <v>1192256.01</v>
      </c>
      <c r="F104" s="60">
        <f t="shared" ref="F104:H104" si="62">F32+F66</f>
        <v>0</v>
      </c>
      <c r="G104" s="60">
        <f t="shared" si="62"/>
        <v>0</v>
      </c>
      <c r="H104" s="60">
        <f t="shared" si="62"/>
        <v>318578.5</v>
      </c>
      <c r="I104" s="60">
        <f t="shared" si="61"/>
        <v>905534.7</v>
      </c>
      <c r="J104" s="60">
        <f t="shared" si="61"/>
        <v>873677.51</v>
      </c>
    </row>
    <row r="105" spans="1:10">
      <c r="A105" s="182"/>
      <c r="B105" s="183"/>
      <c r="C105" s="171"/>
      <c r="D105" s="118" t="s">
        <v>82</v>
      </c>
      <c r="E105" s="45">
        <f t="shared" si="41"/>
        <v>1264676.5</v>
      </c>
      <c r="F105" s="60">
        <f t="shared" ref="F105:H105" si="63">F33+F67</f>
        <v>0</v>
      </c>
      <c r="G105" s="60">
        <f t="shared" si="63"/>
        <v>535869.9</v>
      </c>
      <c r="H105" s="60">
        <f t="shared" si="63"/>
        <v>0</v>
      </c>
      <c r="I105" s="60">
        <f t="shared" si="61"/>
        <v>728806.6</v>
      </c>
      <c r="J105" s="60">
        <f t="shared" si="61"/>
        <v>728806.60000000009</v>
      </c>
    </row>
  </sheetData>
  <mergeCells count="64">
    <mergeCell ref="B44:B47"/>
    <mergeCell ref="A1:J1"/>
    <mergeCell ref="A3:A4"/>
    <mergeCell ref="B3:B4"/>
    <mergeCell ref="E3:J3"/>
    <mergeCell ref="C3:C4"/>
    <mergeCell ref="D3:D4"/>
    <mergeCell ref="B38:B41"/>
    <mergeCell ref="A38:A41"/>
    <mergeCell ref="A5:D5"/>
    <mergeCell ref="A17:A19"/>
    <mergeCell ref="B17:B19"/>
    <mergeCell ref="C17:C19"/>
    <mergeCell ref="A20:A22"/>
    <mergeCell ref="B20:B22"/>
    <mergeCell ref="C20:C22"/>
    <mergeCell ref="C69:C71"/>
    <mergeCell ref="A68:D68"/>
    <mergeCell ref="A49:A51"/>
    <mergeCell ref="B49:B51"/>
    <mergeCell ref="C49:C51"/>
    <mergeCell ref="C52:C55"/>
    <mergeCell ref="B52:B55"/>
    <mergeCell ref="C56:C59"/>
    <mergeCell ref="A52:A55"/>
    <mergeCell ref="B69:B71"/>
    <mergeCell ref="C6:C8"/>
    <mergeCell ref="B6:B8"/>
    <mergeCell ref="A6:A8"/>
    <mergeCell ref="A11:A14"/>
    <mergeCell ref="B11:B14"/>
    <mergeCell ref="C11:C14"/>
    <mergeCell ref="C27:C29"/>
    <mergeCell ref="C98:C101"/>
    <mergeCell ref="C102:C105"/>
    <mergeCell ref="A94:B105"/>
    <mergeCell ref="A56:B67"/>
    <mergeCell ref="A80:B83"/>
    <mergeCell ref="C80:C83"/>
    <mergeCell ref="C94:C97"/>
    <mergeCell ref="A76:A79"/>
    <mergeCell ref="B76:B79"/>
    <mergeCell ref="A84:D84"/>
    <mergeCell ref="C78:C79"/>
    <mergeCell ref="A85:A88"/>
    <mergeCell ref="B85:B88"/>
    <mergeCell ref="C85:C88"/>
    <mergeCell ref="A69:A71"/>
    <mergeCell ref="A89:D89"/>
    <mergeCell ref="A90:A93"/>
    <mergeCell ref="B90:B93"/>
    <mergeCell ref="C90:C93"/>
    <mergeCell ref="A23:B33"/>
    <mergeCell ref="C30:C33"/>
    <mergeCell ref="C23:C26"/>
    <mergeCell ref="C44:C47"/>
    <mergeCell ref="C64:C66"/>
    <mergeCell ref="C60:C63"/>
    <mergeCell ref="A34:D34"/>
    <mergeCell ref="A35:A37"/>
    <mergeCell ref="B35:B37"/>
    <mergeCell ref="C35:C37"/>
    <mergeCell ref="A44:A47"/>
    <mergeCell ref="C38:C4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3" fitToHeight="0" orientation="landscape" r:id="rId1"/>
  <rowBreaks count="3" manualBreakCount="3">
    <brk id="33" max="9" man="1"/>
    <brk id="67" max="8" man="1"/>
    <brk id="8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I42" sqref="I42"/>
    </sheetView>
  </sheetViews>
  <sheetFormatPr defaultRowHeight="14.4"/>
  <cols>
    <col min="1" max="1" width="20.5546875" customWidth="1"/>
    <col min="2" max="2" width="16.5546875" customWidth="1"/>
    <col min="3" max="3" width="16.88671875" customWidth="1"/>
    <col min="4" max="4" width="17.44140625" customWidth="1"/>
    <col min="5" max="5" width="19.6640625" customWidth="1"/>
  </cols>
  <sheetData>
    <row r="1" spans="1:6">
      <c r="A1" s="195" t="s">
        <v>205</v>
      </c>
      <c r="B1" s="195"/>
      <c r="C1" s="195"/>
      <c r="D1" s="195"/>
      <c r="E1" s="195"/>
      <c r="F1" s="195"/>
    </row>
    <row r="2" spans="1:6">
      <c r="A2" s="195" t="s">
        <v>217</v>
      </c>
      <c r="B2" s="195"/>
      <c r="C2" s="195"/>
      <c r="D2" s="195"/>
      <c r="E2" s="195"/>
      <c r="F2" s="195"/>
    </row>
    <row r="3" spans="1:6">
      <c r="A3" s="195" t="s">
        <v>218</v>
      </c>
      <c r="B3" s="195"/>
      <c r="C3" s="195"/>
      <c r="D3" s="195"/>
      <c r="E3" s="195"/>
      <c r="F3" s="195"/>
    </row>
    <row r="4" spans="1:6">
      <c r="A4" s="194" t="s">
        <v>219</v>
      </c>
      <c r="B4" s="194"/>
      <c r="C4" s="194"/>
      <c r="D4" s="194"/>
      <c r="E4" s="194"/>
    </row>
    <row r="6" spans="1:6" s="87" customFormat="1">
      <c r="A6" s="89"/>
      <c r="B6" s="89" t="s">
        <v>230</v>
      </c>
      <c r="C6" s="89" t="s">
        <v>231</v>
      </c>
      <c r="D6" s="89" t="s">
        <v>232</v>
      </c>
      <c r="E6" s="89" t="s">
        <v>233</v>
      </c>
    </row>
    <row r="7" spans="1:6">
      <c r="A7" s="84" t="s">
        <v>220</v>
      </c>
      <c r="B7" s="85">
        <v>2416132260.73</v>
      </c>
      <c r="C7" s="85">
        <v>2416132260.73</v>
      </c>
      <c r="D7" s="85">
        <v>2415679497</v>
      </c>
      <c r="E7" s="85">
        <f>SUM(B7-D7)</f>
        <v>452763.73000001907</v>
      </c>
    </row>
    <row r="8" spans="1:6">
      <c r="A8" s="84" t="s">
        <v>221</v>
      </c>
      <c r="B8" s="85">
        <f>431061647+171086399</f>
        <v>602148046</v>
      </c>
      <c r="C8" s="85">
        <f>431061647+171086399</f>
        <v>602148046</v>
      </c>
      <c r="D8" s="85">
        <f>23708200+305513700+101837900+7555627.2+129819412.8</f>
        <v>568434840</v>
      </c>
      <c r="E8" s="85">
        <f t="shared" ref="E8:E15" si="0">SUM(B8-D8)</f>
        <v>33713206</v>
      </c>
    </row>
    <row r="9" spans="1:6" ht="22.5" customHeight="1">
      <c r="A9" s="84" t="s">
        <v>222</v>
      </c>
      <c r="B9" s="85">
        <f>SUM(B7:B8)</f>
        <v>3018280306.73</v>
      </c>
      <c r="C9" s="85">
        <f t="shared" ref="C9:E9" si="1">SUM(C7:C8)</f>
        <v>3018280306.73</v>
      </c>
      <c r="D9" s="85">
        <f t="shared" si="1"/>
        <v>2984114337</v>
      </c>
      <c r="E9" s="85">
        <f t="shared" si="1"/>
        <v>34165969.730000019</v>
      </c>
    </row>
    <row r="10" spans="1:6">
      <c r="A10" s="84" t="s">
        <v>206</v>
      </c>
      <c r="B10" s="85">
        <v>3328528416.3499999</v>
      </c>
      <c r="C10" s="85">
        <v>3328528416.3499999</v>
      </c>
      <c r="D10" s="85">
        <v>3328426894.4499998</v>
      </c>
      <c r="E10" s="85">
        <f t="shared" si="0"/>
        <v>101521.90000009537</v>
      </c>
    </row>
    <row r="11" spans="1:6">
      <c r="A11" s="84" t="s">
        <v>207</v>
      </c>
      <c r="B11" s="85">
        <f>572985381+508727719</f>
        <v>1081713100</v>
      </c>
      <c r="C11" s="85">
        <f>572985381+508727719</f>
        <v>1081713100</v>
      </c>
      <c r="D11" s="85">
        <f>8594781+141097700+423292900+7628257.4+500922423.6</f>
        <v>1081536062</v>
      </c>
      <c r="E11" s="85">
        <f t="shared" si="0"/>
        <v>177038</v>
      </c>
    </row>
    <row r="12" spans="1:6" ht="22.5" customHeight="1">
      <c r="A12" s="84" t="s">
        <v>208</v>
      </c>
      <c r="B12" s="85">
        <f>SUM(B10:B11)</f>
        <v>4410241516.3500004</v>
      </c>
      <c r="C12" s="85">
        <f t="shared" ref="C12:E12" si="2">SUM(C10:C11)</f>
        <v>4410241516.3500004</v>
      </c>
      <c r="D12" s="85">
        <f t="shared" si="2"/>
        <v>4409962956.4499998</v>
      </c>
      <c r="E12" s="85">
        <f t="shared" si="2"/>
        <v>278559.90000009537</v>
      </c>
    </row>
    <row r="13" spans="1:6">
      <c r="A13" s="84" t="s">
        <v>209</v>
      </c>
      <c r="B13" s="85">
        <v>62700002</v>
      </c>
      <c r="C13" s="85">
        <v>62700002</v>
      </c>
      <c r="D13" s="85">
        <v>62599662.479999997</v>
      </c>
      <c r="E13" s="85">
        <f t="shared" si="0"/>
        <v>100339.52000000328</v>
      </c>
    </row>
    <row r="14" spans="1:6">
      <c r="A14" s="84" t="s">
        <v>210</v>
      </c>
      <c r="B14" s="85">
        <v>176131523</v>
      </c>
      <c r="C14" s="85">
        <v>176131523</v>
      </c>
      <c r="D14" s="85">
        <v>175872467.30000001</v>
      </c>
      <c r="E14" s="85">
        <f t="shared" si="0"/>
        <v>259055.69999998808</v>
      </c>
    </row>
    <row r="15" spans="1:6">
      <c r="A15" s="84" t="s">
        <v>223</v>
      </c>
      <c r="B15" s="85">
        <v>94520540</v>
      </c>
      <c r="C15" s="85">
        <v>94520540</v>
      </c>
      <c r="D15" s="85">
        <v>94465418.450000003</v>
      </c>
      <c r="E15" s="85">
        <f t="shared" si="0"/>
        <v>55121.54999999702</v>
      </c>
    </row>
    <row r="16" spans="1:6" ht="18.75" customHeight="1">
      <c r="A16" s="99" t="s">
        <v>224</v>
      </c>
      <c r="B16" s="100">
        <f>SUM(B7+B10+B13+B14+B15)</f>
        <v>6078012742.0799999</v>
      </c>
      <c r="C16" s="100">
        <f t="shared" ref="C16:E16" si="3">SUM(C7+C10+C13+C14+C15)</f>
        <v>6078012742.0799999</v>
      </c>
      <c r="D16" s="100">
        <f t="shared" si="3"/>
        <v>6077043939.6799994</v>
      </c>
      <c r="E16" s="100">
        <f t="shared" si="3"/>
        <v>968802.40000010282</v>
      </c>
    </row>
    <row r="17" spans="1:6" ht="18.75" customHeight="1">
      <c r="A17" s="99" t="s">
        <v>225</v>
      </c>
      <c r="B17" s="100">
        <f>SUM(B8+B11)</f>
        <v>1683861146</v>
      </c>
      <c r="C17" s="100">
        <f t="shared" ref="C17:E17" si="4">SUM(C8+C11)</f>
        <v>1683861146</v>
      </c>
      <c r="D17" s="100">
        <f t="shared" si="4"/>
        <v>1649970902</v>
      </c>
      <c r="E17" s="100">
        <f t="shared" si="4"/>
        <v>33890244</v>
      </c>
    </row>
    <row r="18" spans="1:6" s="92" customFormat="1" ht="27" customHeight="1">
      <c r="A18" s="90" t="s">
        <v>226</v>
      </c>
      <c r="B18" s="91">
        <f>SUM(B16:B17)</f>
        <v>7761873888.0799999</v>
      </c>
      <c r="C18" s="91">
        <f t="shared" ref="C18:E18" si="5">SUM(C16:C17)</f>
        <v>7761873888.0799999</v>
      </c>
      <c r="D18" s="91">
        <f t="shared" si="5"/>
        <v>7727014841.6799994</v>
      </c>
      <c r="E18" s="91">
        <f t="shared" si="5"/>
        <v>34859046.400000103</v>
      </c>
    </row>
    <row r="21" spans="1:6">
      <c r="A21" s="195" t="s">
        <v>229</v>
      </c>
      <c r="B21" s="195"/>
      <c r="C21" s="195"/>
      <c r="D21" s="195"/>
      <c r="E21" s="195"/>
      <c r="F21" s="195"/>
    </row>
    <row r="22" spans="1:6">
      <c r="A22" s="195" t="s">
        <v>227</v>
      </c>
      <c r="B22" s="195"/>
      <c r="C22" s="195"/>
      <c r="D22" s="195"/>
      <c r="E22" s="195"/>
      <c r="F22" s="195"/>
    </row>
    <row r="24" spans="1:6">
      <c r="B24" s="93" t="s">
        <v>211</v>
      </c>
      <c r="C24" s="93" t="s">
        <v>212</v>
      </c>
      <c r="D24" s="93" t="s">
        <v>213</v>
      </c>
      <c r="E24" s="93" t="s">
        <v>214</v>
      </c>
    </row>
    <row r="25" spans="1:6">
      <c r="A25" s="84" t="s">
        <v>220</v>
      </c>
      <c r="B25" s="85">
        <f>1017647511.6+30727868.14</f>
        <v>1048375379.74</v>
      </c>
      <c r="C25" s="85">
        <f>17807189+18900000+1242929800+20025898.67+12412429.59+9395200+1600000+44233600</f>
        <v>1367304117.26</v>
      </c>
      <c r="D25" s="85"/>
      <c r="E25" s="85">
        <f>SUM(B25:D25)</f>
        <v>2415679497</v>
      </c>
    </row>
    <row r="26" spans="1:6">
      <c r="A26" s="84" t="s">
        <v>221</v>
      </c>
      <c r="B26" s="85">
        <f>23708200+7555627.2</f>
        <v>31263827.199999999</v>
      </c>
      <c r="C26" s="85">
        <f>101837900+129819412.8</f>
        <v>231657312.80000001</v>
      </c>
      <c r="D26" s="85">
        <f>305513700</f>
        <v>305513700</v>
      </c>
      <c r="E26" s="85">
        <f>SUM(B26:D26)</f>
        <v>568434840</v>
      </c>
    </row>
    <row r="27" spans="1:6" s="86" customFormat="1" ht="21" customHeight="1">
      <c r="A27" s="88" t="s">
        <v>222</v>
      </c>
      <c r="B27" s="96">
        <f>SUM(B25:B26)</f>
        <v>1079639206.9400001</v>
      </c>
      <c r="C27" s="96">
        <f t="shared" ref="C27" si="6">SUM(C25:C26)</f>
        <v>1598961430.0599999</v>
      </c>
      <c r="D27" s="96">
        <f t="shared" ref="D27" si="7">SUM(D25:D26)</f>
        <v>305513700</v>
      </c>
      <c r="E27" s="96">
        <f t="shared" ref="E27" si="8">SUM(E25:E26)</f>
        <v>2984114337</v>
      </c>
    </row>
    <row r="28" spans="1:6">
      <c r="A28" s="84" t="s">
        <v>206</v>
      </c>
      <c r="B28" s="85">
        <f>1263770183.4+78712987.72</f>
        <v>1342483171.1200001</v>
      </c>
      <c r="C28" s="85">
        <f>74100+1691158100+735000+37900+975900+57013637+11100000+37879000+21086900+57600000+48109500+400000+44514100+14923586.33</f>
        <v>1985607723.3299999</v>
      </c>
      <c r="D28" s="85">
        <f>222200+113800</f>
        <v>336000</v>
      </c>
      <c r="E28" s="85">
        <f t="shared" ref="E28:E33" si="9">SUM(B28:D28)</f>
        <v>3328426894.4499998</v>
      </c>
    </row>
    <row r="29" spans="1:6">
      <c r="A29" s="84" t="s">
        <v>207</v>
      </c>
      <c r="B29" s="85">
        <f>8594781+7628257.4</f>
        <v>16223038.4</v>
      </c>
      <c r="C29" s="85">
        <f>141097700+500922423.6</f>
        <v>642020123.60000002</v>
      </c>
      <c r="D29" s="85">
        <f>423292900</f>
        <v>423292900</v>
      </c>
      <c r="E29" s="85">
        <f t="shared" si="9"/>
        <v>1081536062</v>
      </c>
    </row>
    <row r="30" spans="1:6" s="86" customFormat="1" ht="22.5" customHeight="1">
      <c r="A30" s="88" t="s">
        <v>208</v>
      </c>
      <c r="B30" s="96">
        <f>SUM(B28:B29)</f>
        <v>1358706209.5200002</v>
      </c>
      <c r="C30" s="96">
        <f t="shared" ref="C30" si="10">SUM(C28:C29)</f>
        <v>2627627846.9299998</v>
      </c>
      <c r="D30" s="96">
        <f t="shared" ref="D30" si="11">SUM(D28:D29)</f>
        <v>423628900</v>
      </c>
      <c r="E30" s="96">
        <f t="shared" ref="E30" si="12">SUM(E28:E29)</f>
        <v>4409962956.4499998</v>
      </c>
    </row>
    <row r="31" spans="1:6">
      <c r="A31" s="84" t="s">
        <v>209</v>
      </c>
      <c r="B31" s="85">
        <v>28039458.129999999</v>
      </c>
      <c r="C31" s="85">
        <f>586+34107618.35+452000</f>
        <v>34560204.350000001</v>
      </c>
      <c r="D31" s="85"/>
      <c r="E31" s="85">
        <f t="shared" si="9"/>
        <v>62599662.480000004</v>
      </c>
    </row>
    <row r="32" spans="1:6">
      <c r="A32" s="84" t="s">
        <v>210</v>
      </c>
      <c r="B32" s="85">
        <f>29353597.94+299918.81</f>
        <v>29653516.75</v>
      </c>
      <c r="C32" s="85">
        <f>6947500+3735+55673600+66046150.02+14167643.1</f>
        <v>142838628.12</v>
      </c>
      <c r="D32" s="85">
        <v>3380322.43</v>
      </c>
      <c r="E32" s="85">
        <f t="shared" si="9"/>
        <v>175872467.30000001</v>
      </c>
    </row>
    <row r="33" spans="1:5">
      <c r="A33" s="84" t="s">
        <v>223</v>
      </c>
      <c r="B33" s="85">
        <v>94079367.450000003</v>
      </c>
      <c r="C33" s="85">
        <f>8451+377600</f>
        <v>386051</v>
      </c>
      <c r="D33" s="85"/>
      <c r="E33" s="85">
        <f t="shared" si="9"/>
        <v>94465418.450000003</v>
      </c>
    </row>
    <row r="34" spans="1:5" s="86" customFormat="1" ht="21" customHeight="1">
      <c r="A34" s="99" t="s">
        <v>224</v>
      </c>
      <c r="B34" s="100">
        <f>SUM(B25+B28+B31+B32+B33)</f>
        <v>2542630893.1900001</v>
      </c>
      <c r="C34" s="100">
        <f t="shared" ref="C34" si="13">SUM(C25+C28+C31+C32+C33)</f>
        <v>3530696724.0599999</v>
      </c>
      <c r="D34" s="100">
        <f t="shared" ref="D34" si="14">SUM(D25+D28+D31+D32+D33)</f>
        <v>3716322.43</v>
      </c>
      <c r="E34" s="100">
        <f t="shared" ref="E34" si="15">SUM(E25+E28+E31+E32+E33)</f>
        <v>6077043939.6799994</v>
      </c>
    </row>
    <row r="35" spans="1:5" s="86" customFormat="1" ht="21.75" customHeight="1">
      <c r="A35" s="99" t="s">
        <v>225</v>
      </c>
      <c r="B35" s="100">
        <f>SUM(B26+B29)</f>
        <v>47486865.600000001</v>
      </c>
      <c r="C35" s="100">
        <f t="shared" ref="C35:E35" si="16">SUM(C26+C29)</f>
        <v>873677436.4000001</v>
      </c>
      <c r="D35" s="100">
        <f t="shared" si="16"/>
        <v>728806600</v>
      </c>
      <c r="E35" s="100">
        <f t="shared" si="16"/>
        <v>1649970902</v>
      </c>
    </row>
    <row r="36" spans="1:5" s="86" customFormat="1" ht="25.5" customHeight="1">
      <c r="A36" s="97" t="s">
        <v>226</v>
      </c>
      <c r="B36" s="98">
        <f>SUM(B34:B35)</f>
        <v>2590117758.79</v>
      </c>
      <c r="C36" s="98">
        <f t="shared" ref="C36" si="17">SUM(C34:C35)</f>
        <v>4404374160.46</v>
      </c>
      <c r="D36" s="98">
        <f t="shared" ref="D36" si="18">SUM(D34:D35)</f>
        <v>732522922.42999995</v>
      </c>
      <c r="E36" s="98">
        <f t="shared" ref="E36" si="19">SUM(E34:E35)</f>
        <v>7727014841.6799994</v>
      </c>
    </row>
    <row r="37" spans="1:5">
      <c r="A37" s="94"/>
      <c r="B37" s="95"/>
      <c r="C37" s="95"/>
      <c r="D37" s="95"/>
      <c r="E37" s="95"/>
    </row>
    <row r="38" spans="1:5">
      <c r="A38" s="94"/>
      <c r="B38" s="95"/>
      <c r="C38" s="95"/>
      <c r="D38" s="95"/>
      <c r="E38" s="95">
        <f>SUM(D18-E36)</f>
        <v>0</v>
      </c>
    </row>
    <row r="39" spans="1:5">
      <c r="A39" t="s">
        <v>215</v>
      </c>
    </row>
    <row r="40" spans="1:5">
      <c r="A40" t="s">
        <v>216</v>
      </c>
    </row>
    <row r="42" spans="1:5">
      <c r="A42" t="s">
        <v>228</v>
      </c>
    </row>
  </sheetData>
  <mergeCells count="6">
    <mergeCell ref="A4:E4"/>
    <mergeCell ref="A21:F21"/>
    <mergeCell ref="A22:F22"/>
    <mergeCell ref="A1:F1"/>
    <mergeCell ref="A2:F2"/>
    <mergeCell ref="A3:F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Отчет_лист 1</vt:lpstr>
      <vt:lpstr>Отчет_лист 2</vt:lpstr>
      <vt:lpstr>Справочно</vt:lpstr>
      <vt:lpstr>'Отчет_лист 1'!Заголовки_для_печати</vt:lpstr>
      <vt:lpstr>'Отчет_лист 2'!Заголовки_для_печати</vt:lpstr>
      <vt:lpstr>'Отчет_лист 1'!Область_печати</vt:lpstr>
      <vt:lpstr>'Отчет_лист 2'!Область_печати</vt:lpstr>
    </vt:vector>
  </TitlesOfParts>
  <Company>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</dc:creator>
  <cp:lastModifiedBy>User</cp:lastModifiedBy>
  <cp:lastPrinted>2019-03-18T04:20:14Z</cp:lastPrinted>
  <dcterms:created xsi:type="dcterms:W3CDTF">2013-01-20T07:12:03Z</dcterms:created>
  <dcterms:modified xsi:type="dcterms:W3CDTF">2020-09-08T12:17:43Z</dcterms:modified>
</cp:coreProperties>
</file>