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0" windowWidth="15480" windowHeight="11280" tabRatio="266" activeTab="1"/>
  </bookViews>
  <sheets>
    <sheet name="Отчет_лист 1" sheetId="1" r:id="rId1"/>
    <sheet name="Отчет_лист 2" sheetId="3" r:id="rId2"/>
    <sheet name="справочно" sheetId="4" r:id="rId3"/>
  </sheets>
  <definedNames>
    <definedName name="sub_10004" localSheetId="0">'Отчет_лист 1'!#REF!</definedName>
    <definedName name="sub_10006" localSheetId="0">'Отчет_лист 1'!#REF!</definedName>
    <definedName name="sub_10008" localSheetId="0">'Отчет_лист 1'!#REF!</definedName>
    <definedName name="_xlnm.Print_Titles" localSheetId="0">'Отчет_лист 1'!$9:$10</definedName>
    <definedName name="_xlnm.Print_Titles" localSheetId="1">'Отчет_лист 2'!$3:$4</definedName>
    <definedName name="_xlnm.Print_Area" localSheetId="0">'Отчет_лист 1'!$A$1:$K$104</definedName>
    <definedName name="_xlnm.Print_Area" localSheetId="1">'Отчет_лист 2'!$A$1:$I$87</definedName>
  </definedNames>
  <calcPr calcId="124519"/>
</workbook>
</file>

<file path=xl/calcChain.xml><?xml version="1.0" encoding="utf-8"?>
<calcChain xmlns="http://schemas.openxmlformats.org/spreadsheetml/2006/main">
  <c r="E13" i="4"/>
  <c r="D13"/>
  <c r="C13"/>
  <c r="B13"/>
  <c r="E12"/>
  <c r="D12"/>
  <c r="C12"/>
  <c r="B12"/>
  <c r="E9"/>
  <c r="D9"/>
  <c r="C9"/>
  <c r="B9"/>
  <c r="E8"/>
  <c r="H52" i="3"/>
  <c r="H51"/>
  <c r="E30" i="1"/>
  <c r="E13"/>
  <c r="G82" i="3"/>
  <c r="G83"/>
  <c r="G76"/>
  <c r="E27" i="4" l="1"/>
  <c r="D27"/>
  <c r="C27"/>
  <c r="B27"/>
  <c r="E25"/>
  <c r="D25"/>
  <c r="C25"/>
  <c r="B25"/>
  <c r="E24"/>
  <c r="D24"/>
  <c r="C24"/>
  <c r="B24"/>
  <c r="E21"/>
  <c r="D21"/>
  <c r="C21"/>
  <c r="B21"/>
  <c r="E20"/>
  <c r="I5" i="3"/>
  <c r="I34" i="1"/>
  <c r="E23" i="4"/>
  <c r="E22"/>
  <c r="E18"/>
  <c r="I83" i="3"/>
  <c r="H83"/>
  <c r="H82"/>
  <c r="I51"/>
  <c r="I82" s="1"/>
  <c r="I52"/>
  <c r="C19" i="4"/>
  <c r="B19"/>
  <c r="D19"/>
  <c r="E32" i="1"/>
  <c r="E31"/>
  <c r="E19" i="4" l="1"/>
  <c r="E11"/>
  <c r="E10"/>
  <c r="E7"/>
  <c r="E6"/>
  <c r="I54" i="1" l="1"/>
  <c r="I12"/>
  <c r="I11" s="1"/>
  <c r="E68"/>
  <c r="E69"/>
  <c r="E67"/>
  <c r="I66"/>
  <c r="I78"/>
  <c r="I64" i="3" s="1"/>
  <c r="E64" s="1"/>
  <c r="I60"/>
  <c r="E60" s="1"/>
  <c r="I63"/>
  <c r="E63" s="1"/>
  <c r="G79"/>
  <c r="G85"/>
  <c r="G84" s="1"/>
  <c r="G86"/>
  <c r="G87"/>
  <c r="F85"/>
  <c r="F87"/>
  <c r="F86"/>
  <c r="I45"/>
  <c r="I41"/>
  <c r="G41"/>
  <c r="F41"/>
  <c r="I38"/>
  <c r="G38"/>
  <c r="F38"/>
  <c r="I37"/>
  <c r="I33"/>
  <c r="E33" s="1"/>
  <c r="G33"/>
  <c r="F33"/>
  <c r="I31"/>
  <c r="I27"/>
  <c r="G27"/>
  <c r="F27"/>
  <c r="I23"/>
  <c r="E23" s="1"/>
  <c r="G23"/>
  <c r="F23"/>
  <c r="G20"/>
  <c r="G81" s="1"/>
  <c r="G77" s="1"/>
  <c r="G21"/>
  <c r="G78" s="1"/>
  <c r="H21"/>
  <c r="I21"/>
  <c r="F21"/>
  <c r="F20"/>
  <c r="I13"/>
  <c r="H13"/>
  <c r="I12"/>
  <c r="I10"/>
  <c r="I9"/>
  <c r="I6"/>
  <c r="I19" s="1"/>
  <c r="G6"/>
  <c r="G19" s="1"/>
  <c r="G13"/>
  <c r="G5" s="1"/>
  <c r="G16"/>
  <c r="F16"/>
  <c r="F13"/>
  <c r="E67"/>
  <c r="E66"/>
  <c r="E65"/>
  <c r="E62"/>
  <c r="E61"/>
  <c r="E59"/>
  <c r="E58"/>
  <c r="E48"/>
  <c r="E47"/>
  <c r="E46"/>
  <c r="E45"/>
  <c r="E44"/>
  <c r="E43"/>
  <c r="E42"/>
  <c r="E41"/>
  <c r="E40"/>
  <c r="E39"/>
  <c r="E38"/>
  <c r="E37"/>
  <c r="E36"/>
  <c r="E35"/>
  <c r="E34"/>
  <c r="E31"/>
  <c r="E30"/>
  <c r="E29"/>
  <c r="E28"/>
  <c r="E27"/>
  <c r="E26"/>
  <c r="E25"/>
  <c r="E24"/>
  <c r="E18"/>
  <c r="E17"/>
  <c r="E16"/>
  <c r="E15"/>
  <c r="E14"/>
  <c r="E13"/>
  <c r="E12"/>
  <c r="E11"/>
  <c r="E10"/>
  <c r="E9"/>
  <c r="E8"/>
  <c r="E7"/>
  <c r="F6"/>
  <c r="F19" s="1"/>
  <c r="H85" i="1"/>
  <c r="H66"/>
  <c r="I62"/>
  <c r="H53"/>
  <c r="H48"/>
  <c r="H42"/>
  <c r="H55" i="3"/>
  <c r="H87" s="1"/>
  <c r="H73"/>
  <c r="H71"/>
  <c r="H70"/>
  <c r="H63"/>
  <c r="H60"/>
  <c r="H57"/>
  <c r="H54"/>
  <c r="H86" s="1"/>
  <c r="H53"/>
  <c r="H85" s="1"/>
  <c r="H84" s="1"/>
  <c r="H41"/>
  <c r="H38"/>
  <c r="H37"/>
  <c r="H33"/>
  <c r="H32"/>
  <c r="H31"/>
  <c r="H12"/>
  <c r="H10"/>
  <c r="H9"/>
  <c r="I84" i="1"/>
  <c r="I65"/>
  <c r="I28"/>
  <c r="H50" i="3" l="1"/>
  <c r="I20"/>
  <c r="I102" i="1"/>
  <c r="H20" i="3"/>
  <c r="H81"/>
  <c r="H77" s="1"/>
  <c r="H79"/>
  <c r="H78"/>
  <c r="E87"/>
  <c r="F5"/>
  <c r="H69"/>
  <c r="F84"/>
  <c r="G80"/>
  <c r="J48" i="1"/>
  <c r="K48"/>
  <c r="F48"/>
  <c r="G48"/>
  <c r="I71" i="3"/>
  <c r="I70"/>
  <c r="I55"/>
  <c r="I87" s="1"/>
  <c r="I54"/>
  <c r="I86" s="1"/>
  <c r="I84" s="1"/>
  <c r="I53"/>
  <c r="I85" s="1"/>
  <c r="E85" s="1"/>
  <c r="E84" l="1"/>
  <c r="E86"/>
  <c r="H80"/>
  <c r="J76" s="1"/>
  <c r="E53"/>
  <c r="E54"/>
  <c r="E55"/>
  <c r="E52"/>
  <c r="H78" i="1"/>
  <c r="F77"/>
  <c r="G77"/>
  <c r="J77"/>
  <c r="K77"/>
  <c r="H29"/>
  <c r="H23" i="3" s="1"/>
  <c r="H64" i="1"/>
  <c r="F64"/>
  <c r="G64"/>
  <c r="H45"/>
  <c r="H43"/>
  <c r="H27" i="3" s="1"/>
  <c r="F42" i="1"/>
  <c r="G42"/>
  <c r="J42"/>
  <c r="K42"/>
  <c r="J64" l="1"/>
  <c r="H62"/>
  <c r="H45" i="3"/>
  <c r="K64" i="1"/>
  <c r="H28"/>
  <c r="H22" i="3" s="1"/>
  <c r="H49"/>
  <c r="H64"/>
  <c r="H68" s="1"/>
  <c r="H65" i="1"/>
  <c r="H56" i="3" s="1"/>
  <c r="I79"/>
  <c r="I78"/>
  <c r="E21"/>
  <c r="K45" i="1"/>
  <c r="J45"/>
  <c r="H34"/>
  <c r="G18" l="1"/>
  <c r="F18"/>
  <c r="F16"/>
  <c r="G16"/>
  <c r="H12"/>
  <c r="H6" i="3" s="1"/>
  <c r="H19" l="1"/>
  <c r="H5"/>
  <c r="H76" s="1"/>
  <c r="I57"/>
  <c r="E57" s="1"/>
  <c r="I73"/>
  <c r="F56"/>
  <c r="I32"/>
  <c r="F22"/>
  <c r="F101" i="1"/>
  <c r="G101"/>
  <c r="I72" i="3"/>
  <c r="H84" i="1"/>
  <c r="K85"/>
  <c r="J85"/>
  <c r="F79"/>
  <c r="G79"/>
  <c r="F80"/>
  <c r="G80"/>
  <c r="F81"/>
  <c r="G81"/>
  <c r="F82"/>
  <c r="G82"/>
  <c r="F83"/>
  <c r="G83"/>
  <c r="G85"/>
  <c r="F85"/>
  <c r="K59"/>
  <c r="J59"/>
  <c r="G61"/>
  <c r="F61"/>
  <c r="G60"/>
  <c r="F60"/>
  <c r="K54"/>
  <c r="K52"/>
  <c r="J52"/>
  <c r="K49"/>
  <c r="J49"/>
  <c r="G58"/>
  <c r="F58"/>
  <c r="G57"/>
  <c r="F57"/>
  <c r="G56"/>
  <c r="F56"/>
  <c r="G55"/>
  <c r="F55"/>
  <c r="F53"/>
  <c r="G53"/>
  <c r="G52"/>
  <c r="F52"/>
  <c r="G51"/>
  <c r="F51"/>
  <c r="G50"/>
  <c r="F50"/>
  <c r="K41"/>
  <c r="J41"/>
  <c r="K39"/>
  <c r="J39"/>
  <c r="K38"/>
  <c r="J38"/>
  <c r="K37"/>
  <c r="J37"/>
  <c r="K36"/>
  <c r="J36"/>
  <c r="K35"/>
  <c r="J35"/>
  <c r="G41"/>
  <c r="F41"/>
  <c r="G39"/>
  <c r="F39"/>
  <c r="G38"/>
  <c r="F38"/>
  <c r="G37"/>
  <c r="F37"/>
  <c r="G36"/>
  <c r="F36"/>
  <c r="G35"/>
  <c r="F35"/>
  <c r="E32" i="3" l="1"/>
  <c r="I50"/>
  <c r="J84" i="1"/>
  <c r="H72" i="3"/>
  <c r="F76"/>
  <c r="J54" i="1"/>
  <c r="K84"/>
  <c r="K53"/>
  <c r="J53"/>
  <c r="J34"/>
  <c r="K34"/>
  <c r="I22" i="3"/>
  <c r="G26" i="1"/>
  <c r="F26"/>
  <c r="G25"/>
  <c r="F25"/>
  <c r="G23"/>
  <c r="F23"/>
  <c r="K18"/>
  <c r="J18"/>
  <c r="K24"/>
  <c r="J24"/>
  <c r="K23"/>
  <c r="J23"/>
  <c r="H11"/>
  <c r="E5" i="3"/>
  <c r="F71"/>
  <c r="E71" s="1"/>
  <c r="F70"/>
  <c r="F69"/>
  <c r="F73" s="1"/>
  <c r="E73" s="1"/>
  <c r="F68"/>
  <c r="F72" s="1"/>
  <c r="E72" s="1"/>
  <c r="F51"/>
  <c r="F50"/>
  <c r="F82" l="1"/>
  <c r="E51"/>
  <c r="E70"/>
  <c r="E50"/>
  <c r="E22"/>
  <c r="F74"/>
  <c r="E74" s="1"/>
  <c r="F75"/>
  <c r="E75" s="1"/>
  <c r="I49"/>
  <c r="F49"/>
  <c r="G100" i="1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78"/>
  <c r="F78"/>
  <c r="G74"/>
  <c r="F74"/>
  <c r="G73"/>
  <c r="F73"/>
  <c r="G72"/>
  <c r="F72"/>
  <c r="G71"/>
  <c r="F71"/>
  <c r="G70"/>
  <c r="F70"/>
  <c r="G69"/>
  <c r="F69"/>
  <c r="G68"/>
  <c r="F68"/>
  <c r="G67"/>
  <c r="F67"/>
  <c r="G47"/>
  <c r="F47"/>
  <c r="G46"/>
  <c r="F46"/>
  <c r="G32"/>
  <c r="F32"/>
  <c r="G31"/>
  <c r="F31"/>
  <c r="G30"/>
  <c r="F30"/>
  <c r="F14"/>
  <c r="G14"/>
  <c r="F15"/>
  <c r="G15"/>
  <c r="F17"/>
  <c r="G17"/>
  <c r="H102"/>
  <c r="F83" i="3" l="1"/>
  <c r="E49"/>
  <c r="F81"/>
  <c r="F78"/>
  <c r="E78" s="1"/>
  <c r="E82"/>
  <c r="I69"/>
  <c r="I68"/>
  <c r="E68" s="1"/>
  <c r="E19"/>
  <c r="E6"/>
  <c r="E20"/>
  <c r="F102" i="1"/>
  <c r="I56" i="3"/>
  <c r="I76" s="1"/>
  <c r="K28" i="1"/>
  <c r="J28"/>
  <c r="K65"/>
  <c r="J65"/>
  <c r="K11"/>
  <c r="J11"/>
  <c r="K66"/>
  <c r="J66"/>
  <c r="K78"/>
  <c r="J78"/>
  <c r="K74"/>
  <c r="J74"/>
  <c r="K63"/>
  <c r="J63"/>
  <c r="K43"/>
  <c r="J43"/>
  <c r="E56" i="3" l="1"/>
  <c r="E76"/>
  <c r="F80"/>
  <c r="F77"/>
  <c r="E83"/>
  <c r="F79"/>
  <c r="E79" s="1"/>
  <c r="I81"/>
  <c r="E69"/>
  <c r="J102" i="1"/>
  <c r="J17"/>
  <c r="K17"/>
  <c r="G13"/>
  <c r="F13"/>
  <c r="E81" i="3" l="1"/>
  <c r="I77"/>
  <c r="I80"/>
  <c r="E80" s="1"/>
  <c r="K12" i="1"/>
  <c r="J12"/>
  <c r="E77" i="3" l="1"/>
  <c r="K29" i="1"/>
  <c r="J29"/>
  <c r="I103"/>
  <c r="J103" l="1"/>
  <c r="E104" s="1"/>
  <c r="F104" s="1"/>
  <c r="K103"/>
  <c r="K102"/>
</calcChain>
</file>

<file path=xl/sharedStrings.xml><?xml version="1.0" encoding="utf-8"?>
<sst xmlns="http://schemas.openxmlformats.org/spreadsheetml/2006/main" count="595" uniqueCount="240">
  <si>
    <t>ОТЧЕТ</t>
  </si>
  <si>
    <t>ЗАКАЗЧИК:</t>
  </si>
  <si>
    <t>№ п/п</t>
  </si>
  <si>
    <t>Плановое значение целевого показателя (индикатора)</t>
  </si>
  <si>
    <t>Фактическое значение целевого показателя (индикатора)</t>
  </si>
  <si>
    <t>Итого:</t>
  </si>
  <si>
    <t>-</t>
  </si>
  <si>
    <t xml:space="preserve">Наименование и содержание 
мероприятия                          
                                                          </t>
  </si>
  <si>
    <t>Плановый объем расходов на программное мероприятие, тыс.руб.</t>
  </si>
  <si>
    <t>Фактический объем расходов на программное мероприятие, тыс.руб.</t>
  </si>
  <si>
    <t>Таблица 1.  ОЦЕНКА ЭФФЕКТИВНОСТИ РЕАЛИЗАЦИИ  ПРОГРАММЫ</t>
  </si>
  <si>
    <t>Абсолютное отклонение значений целевых показателей (индикаторов),
гр.5 – гр.4</t>
  </si>
  <si>
    <t>Наименование мероприятия / Наименование целевого показателя (индикатора)</t>
  </si>
  <si>
    <t>Ед.
изм.</t>
  </si>
  <si>
    <t xml:space="preserve">Ответственный исполнитель, соисполнитель </t>
  </si>
  <si>
    <t>Источник финансирования</t>
  </si>
  <si>
    <t>Таблица 2. ФАКТИЧЕСКИЙ ОБЪЕМ ФИНАНСИРОВАНИЯ РАСХОДОВ НА РЕАЛИЗАЦИЮ ПРОГРАММЫ</t>
  </si>
  <si>
    <t>Общий объем  расходов</t>
  </si>
  <si>
    <t>2015
факт</t>
  </si>
  <si>
    <t>Уровень достижения результата, %, 
гр. 5 / гр. 4</t>
  </si>
  <si>
    <t>шт.</t>
  </si>
  <si>
    <t>Фактический объем расходов на реализацию мероприятий программы по годам (тыс.руб.), в т.ч.</t>
  </si>
  <si>
    <r>
      <t>Эффективность реализации программы в целом (Э</t>
    </r>
    <r>
      <rPr>
        <b/>
        <i/>
        <vertAlign val="subscript"/>
        <sz val="16"/>
        <rFont val="Times New Roman"/>
        <family val="1"/>
        <charset val="204"/>
      </rPr>
      <t>Пр</t>
    </r>
    <r>
      <rPr>
        <b/>
        <sz val="16"/>
        <rFont val="Times New Roman"/>
        <family val="1"/>
        <charset val="204"/>
      </rPr>
      <t>), %</t>
    </r>
  </si>
  <si>
    <t>Абсолютное отклонение в объемах расходов на программное мероприятие,
 тыс.руб.
(гр.9 – гр.8)</t>
  </si>
  <si>
    <t>УПРАВЛЕНИЕ ОБРАЗОВАНИЯ АДМИНИСТРАЦИИ ГОРОДА ОРЕНБУРГА</t>
  </si>
  <si>
    <t>Обеспечение дошкольного образования и осуществление присмотра и ухода за детьми /</t>
  </si>
  <si>
    <t>чел.</t>
  </si>
  <si>
    <t>Обеспечение начального общего, основного общего, среднего общего и дополнительного образования /</t>
  </si>
  <si>
    <t>тыс.чел.</t>
  </si>
  <si>
    <t>2.1.</t>
  </si>
  <si>
    <t>2.2.</t>
  </si>
  <si>
    <t>2.3.</t>
  </si>
  <si>
    <t>Проведение мероприятий по формированию в ОБО условий для инклюзивного образования детей-инвалидов, предусматривающих универсальную безбарьерную среду / Количество ОБО, в которых сформирована универсальная безбарьерная среда, позволяющая обеспечить совместное обучение детей-инвалидов и лиц, не имеющих нарушений развития</t>
  </si>
  <si>
    <t>3.1.</t>
  </si>
  <si>
    <t>Обеспечение отдыха, оздоровление детей в каникулярное время и оказание методической, психолого-педагогической помощи/</t>
  </si>
  <si>
    <t>ед.</t>
  </si>
  <si>
    <t>3.2.</t>
  </si>
  <si>
    <t>Улучшение технического состояния зданий муниципальных загородных детских оздоровительных лагерей и (или) их территорий (проектные, экспертные, ремонтные, монтажные, противоаварийные, восстановительные, строительные работы, реконструкция зданий, благоустройство территории, приобретение строительных материалов и прочие расходы, направленные на улучшение технического состояния зданий муниципальных загородных детских оздоровительных лагерей и их территорий) / Количество лагерей, в которых улучшено техническое состояние зданий и (или) их территорий</t>
  </si>
  <si>
    <t>3.3.</t>
  </si>
  <si>
    <t>1.</t>
  </si>
  <si>
    <t>2.</t>
  </si>
  <si>
    <t>/ численность детей, которым предоставлена возможность получения дошкольного образования</t>
  </si>
  <si>
    <t>/ количество муниципальных дошкольных образовательных организаций</t>
  </si>
  <si>
    <t>/ численность педагогических работников дошкольных образовательных организаций, прошедших повышение квалификации и (или) профессиональную переподготовку</t>
  </si>
  <si>
    <t>Уровень освоения финансовых средств на программное мероприятие,
%, гр. 9 / гр. 8</t>
  </si>
  <si>
    <t>УО, ДОО, ОБО</t>
  </si>
  <si>
    <t>Обеспечение дошкольного образования и осуществление присмотра и ухода за детьми</t>
  </si>
  <si>
    <t>Обеспечение начального общего, основного общего, среднего общего и дополнительного образования</t>
  </si>
  <si>
    <t>Проведение мероприятий по формированию в ОБО условий для инклюзивного образования детей-инвалидов, предусматривающих универсальную безбарьерную среду</t>
  </si>
  <si>
    <t>Управление в сфере образования города Оренбурга и обеспечение финансово-хозяйственной деятельности муниципальных организаций, подведомственных УО</t>
  </si>
  <si>
    <t>/ численность детей, которым предоставлена возможность получать услуги начального общего, основного общего, среднего общего и дополнительного образования</t>
  </si>
  <si>
    <t>/ количество ОО, применяющих программы, соответствующие требованиям стандартов начального общего, основного общего, среднего общего и дополнительного образования</t>
  </si>
  <si>
    <t>/ численность педагогических работников ОО начального общего, основного общего, среднего общего и дополнительного образования детей, прошедших повышение квалификации и (или) профессиональную переподготовку</t>
  </si>
  <si>
    <t>/ количество ОБО и ОДОД, в которых улучшено техническое состояние зданий и (или) их территорий</t>
  </si>
  <si>
    <t>/ численность детей, которым предоставлена возможность получать в каникулярное время услуги отдыха и оздоровления, а также методической, психолого-педагогической помощи</t>
  </si>
  <si>
    <t>/ количество ОО, применяющих программы, соответствующие требованиям стандартов по организации отдыха, оздоровлению детей в каникулярное время и осуществляющих методическую, психолого-педагогическую помощь</t>
  </si>
  <si>
    <t>/ численность организаций, получающих методическую и психолого-педагогическую помощь</t>
  </si>
  <si>
    <t>/ количество детей и подростков, охваченных организованной и безопасной формой отдыха</t>
  </si>
  <si>
    <t>/ повышение качества представляемых образовательных услуг:
а) количество проведеннных методических объединений для руководителей и педагогических работников образовательных организаций</t>
  </si>
  <si>
    <t>/ количество организованных  курсов повышения квалификации для педагогических работников</t>
  </si>
  <si>
    <t>/ б) количество оказанных консультативно-диагностических, коррекционно-развивающих услуг по запросу образовательных организаций</t>
  </si>
  <si>
    <t>Результаты:</t>
  </si>
  <si>
    <t>%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</si>
  <si>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</si>
  <si>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</si>
  <si>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</si>
  <si>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</si>
  <si>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</si>
  <si>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</si>
  <si>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</si>
  <si>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</si>
  <si>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</si>
  <si>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</si>
  <si>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</si>
  <si>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</si>
  <si>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Удельный вес численности организаций, получивших методическую и психолого-педагогическую помощь в общей численности ОО</t>
  </si>
  <si>
    <t>Удельный вес ДОО, применяющих программы, соответствующие требованиям стандартов дошкольного образования в общем объеме ДОО</t>
  </si>
  <si>
    <t>Удельный вес численности педагогических работников ДОО, прошедших повышение квалификации и (или) профессиональную переподготовку в общей численности педагогических работников</t>
  </si>
  <si>
    <t>Удельный вес численности учителей в возрасте до 30 лет в общей численности учителей ОБО</t>
  </si>
  <si>
    <t>Отношение среднемесячной заработной платы педагогических работников ОБО к среднемесячной заработной плате в Оренбургской области</t>
  </si>
  <si>
    <t>Удельный вес ОБО, в которых оценка деятельности их руководителей и основных категорий работников осуществляется на основании показателей эффективности деятельности муниципальных общеобразовательных организаций, в общей численности ОБО</t>
  </si>
  <si>
    <t>Удельный вес численности обучающихся в ОБО, получающих горячее питание, к общей численности обучающихся</t>
  </si>
  <si>
    <t>Удельный вес численности учащихся по программам общего образования, участвующих в олимпиадах и конкурсах различного уровня, в общей численности учащихся по программам общего образования</t>
  </si>
  <si>
    <t>Доля детей, охваченных образовательными программами дополнительного образования детей, в общей численности детей и молодежи в возрасте 5-18 лет</t>
  </si>
  <si>
    <t>Отношение среднемесячной заработной платы педагогических работников ОДОД к среднемесячной заработной плате учителей в Оренбургской области</t>
  </si>
  <si>
    <t>Удельный вес численности педагогических работников ОДОД в возрасте до 35 лет в общей численности педагогических работников ОДОД</t>
  </si>
  <si>
    <t>Мониторинг состояния и развития системы образования города Оренбурга</t>
  </si>
  <si>
    <t>Удельный вес своевременно выявленной численности детей с ограниченными возможностями здоровья и (или) девиантным (общественноопасным) поведением в общей численности детей с ограниченными возможностями здоровья и (или) девиантным (общественноопасным) поведением</t>
  </si>
  <si>
    <t>бюджет города</t>
  </si>
  <si>
    <t>областной бюджет</t>
  </si>
  <si>
    <t>всего:</t>
  </si>
  <si>
    <t>Всего по разделу 1:</t>
  </si>
  <si>
    <t>Всего по разделу 2:</t>
  </si>
  <si>
    <t>Обеспечение отдыха, оздоровление детей в каникулярное время и оказание методической, психолого-педагогической помощи</t>
  </si>
  <si>
    <t>федеральный бюджет</t>
  </si>
  <si>
    <t>Всего по разделу 3:</t>
  </si>
  <si>
    <t>Всего по программе:</t>
  </si>
  <si>
    <t>Мероприятие 1. Предоставление дошкольного образования и осуществление присмотра и ухода за детьми</t>
  </si>
  <si>
    <t>Улучшение технического состояния зданий ДОО и (или) их территорий (проектные, экспертные, ремонтные, в т.ч. капитальные, монтажные, строительные работы, работы по реконструкции, противоаварийные мероприятия, благоустройство территории, проведение детально-инструментального обследования, инженерно-геологических изысканий, приобретение материалов и прочие расходы, направленные на улучшение технического состояния зданий ДОО и (или) их территорий) / Количество ДОО, в которых улучшено техническое состояние зданий и (или) их территорий</t>
  </si>
  <si>
    <t>Повышение доступности дошкольных услуг</t>
  </si>
  <si>
    <t xml:space="preserve">Обеспечение пожарной безопасности в ДОО (оснащение современными комплексами инженерно-технических систем обеспечения безопасности (проектирование, приобретение, монтаж оборудования, модернизация и ремонт, ранее установленного АПС, ОДС, СОУЭ); обеспечение безаварийной работы систем электроснабжения (проектирование, реконструкция, капитальный ремонт, ремонтные, монтажные работы и иные мероприятия); содержание в исправном состоянии эвакуационных путей и выходов в соответствии с требованиями безопасной эвакуации людей при пожаре (приведение путей эвакуации и эвакуационных выходов в соответствии с требованиями пожарной безопасности)) / </t>
  </si>
  <si>
    <t>/ количество ДОО, оснащенных оборудованием АПС, СОУЭ</t>
  </si>
  <si>
    <t>/ количество ДОО, оснащенных оборудованием ОДС</t>
  </si>
  <si>
    <t>Обеспечение антитеррористической защищенности в ДОО (проектирование, установка и монтаж видеонаблюдения, видеодомофонов, включая приобретение необходимого оборудования, материальных запасов; устройство, реконструкция, ремонт и иные мероприятия, направленные на восстановление целостности ограждения) / количество ДОО, оснащенных системами видеонаблюдения, видеодомофонами</t>
  </si>
  <si>
    <t>/ количество ДОО, в которых улучшено техническое состояние зданий и (или) их территорий в рамках наказов избирателей депутатов Оренбургского городского Совета и социально значимых мероприятий</t>
  </si>
  <si>
    <t>/ количество ДОО, которыми приобретены основные средства, оборудование, материалы, производственный и хозяйственный инвентарь в рамках наказов избирателей депутатов Оренбургского городского Совета и социально значимых мероприятий</t>
  </si>
  <si>
    <t>Формирование универсальной безбарьерной среды для инклюзивного образования детей-инвалидов в ДОО (устройство пандуса, в т.ч. ремонтные работы, ремонтные работы санузлов, устройство беспороговых входных групп и других помещений, увеличение дверных проемов, установка кнопки вызова помощи и другие мероприятия) / количество ДОО, в которых выполнены мероприятия по формированию универсальнойбезбарьерной среды</t>
  </si>
  <si>
    <t>Мероприятие 2. Предоставление начального общего, основного общего, среднего общего и дополнительного образования детям</t>
  </si>
  <si>
    <t>выплата муниципальных стипендий талантливым и одаренным учащимся образовательных организаций города Оренбурга / количество учащихся общеобразовательных организаций, которым назначена муниципальная стипендия для талантливых и одаренных детей</t>
  </si>
  <si>
    <t>из них:</t>
  </si>
  <si>
    <t>предоставление муниципального гранта «Лучшая школа города Оренбурга» / количество ОБО, прошедших конкурсный отбор и признанных победителями по его результатам, получивших муниципальный грант «Лучшая школа города Оренбурга»</t>
  </si>
  <si>
    <t>предоставление именных премий Заслуженных учителей РФ, ветеранов педагогического труда В.М. Барбазюка и А.И. Морозова / количество награжденных именными премиями Заслуженных учителей РФ, ветеранов педагогического труда В.М. Барбазюка и А.И. Морозова</t>
  </si>
  <si>
    <t>предоставление муниципального гранта «Лучший учитель (педагог) города Оренбурга» / количество учителей, которым присвоен муниципальный грант «Лучший учитель (педагог) города Оренбурга»</t>
  </si>
  <si>
    <t>приобретение диагностических тестов для проведения добровольного экспресс-тестирования школьников на предмет выявления лиц, допускающих немедицинское потребление наркотиков / количество приобретенных диагностических тестов для проведения добровольного экспресс-тестирования школьников на предмет выявления лиц, допускающих немедицинское потребление наркотиков</t>
  </si>
  <si>
    <t>проведение экологической акции (приобретение саженцев деревьев и кустарников для посадки на территории ОБО) / количество ОО, участвующих в экологической акции</t>
  </si>
  <si>
    <t>совершенствование организации питания учащихся образовательных организаций и предоставление компенсационных выплат на горячее питание детей, чьи матери награждены медалью «За материнство»</t>
  </si>
  <si>
    <t>из них на мероприятия:</t>
  </si>
  <si>
    <t>/ количество зданий ОБО, в которых проведены текущий и (или) капитальный ремонт, противоаварийные мероприятия и иные мероприятия, направленные на восстановление целостности конструкций зданий и на развитие ифраструктуры ОБО</t>
  </si>
  <si>
    <t>Улучшение технического состояния зданий ОБО и ОДОД и (или) их территорий (проектные, экспертные, ремонтные, в т.ч. капитальные, монтажные, строительные работы, работы по реконструкции, противоаварийные мероприятия, благоустройство территории, проведение детально-инструментального обследования, инженерно-геологических изысканий,георадиолокационных обследований приобретение материалов и прочие расходы, направленные на улучшение технического состояния зданий ОБО и ОДОД и (или) их территорий):</t>
  </si>
  <si>
    <t xml:space="preserve">проведение капитального и (или) текущего ремонта, работ по реконструкции, строительных, восстановительных работ, противоаварийных мероприятий в ОБО, ОДОД и иных мероприятий, направленных на восстановление целостности конструкций зданий и на развитие инфраструктуры / </t>
  </si>
  <si>
    <t>проведение капитального и (или) текущего ремонта, работ по реконструкции, монтажных работ, строительных, восстановительных работ спортивных залов, спортивных площадок / количество ОБО, расположенных в сельской местности, в которых отремонтированы спортивные залы</t>
  </si>
  <si>
    <t>Обеспечение пожарной безопасности в ОБО и ОДОД (оснащение современными комплексами инженерно-технических систем обеспечения безопасности (проектирование, приобретение, монтаж оборудования, модернизация и ремонт, ранее установленного АПС, ОДС, СОУЭ); обеспечение безаварийной работы систем электроснабжения (проектирование, реконструкция, капитальный ремонт, ремонтные, монтажные работы и иные мероприятия); содержание в исправном состоянии эвакуационных путей и выходов в соответствии с требованиями безопасной эвакуации людей при пожаре (приведение путей эвакуации и эвакуационных выходов в соответствии с требованиями пожарной безопасности), проведение расчетов оценки пожарных рисков))</t>
  </si>
  <si>
    <t>2.4.</t>
  </si>
  <si>
    <t>2.5.</t>
  </si>
  <si>
    <t>2.6.</t>
  </si>
  <si>
    <t>2.7.</t>
  </si>
  <si>
    <t>2.8.</t>
  </si>
  <si>
    <t>/ количество зданий ОБО и ОДОД, оснащенных оборудованием АПС, СОУЭ</t>
  </si>
  <si>
    <t>/ количество ОБО и ОДОД, оснащенных оборудованием ОДС и/или проведены расчеты оценки пожарных рисков</t>
  </si>
  <si>
    <t>/ общее количество команд, принимающих участие в соревнованиях ШБЛ</t>
  </si>
  <si>
    <t>/ общая аудитория всех турниров ШБЛ</t>
  </si>
  <si>
    <t>/ количество команд ОБО, ежегодно награждаемых по итогам соревнований ШБЛ</t>
  </si>
  <si>
    <t>/ количество задействованных спортивных залов во время проведения соревнований ШБЛ</t>
  </si>
  <si>
    <r>
      <t xml:space="preserve">Мероприятия, направленные на популяризацию баскетбола среди учащихся школ </t>
    </r>
    <r>
      <rPr>
        <sz val="12"/>
        <rFont val="Times New Roman"/>
        <family val="1"/>
        <charset val="204"/>
      </rPr>
      <t>(организация и проведение соревнований ШБЛ, вручение призов победителям соревнований,  содержание ставок тренеров-преподавателей, приобретение спортивного инвентаря, основных средств и материалов, разработка проектной документации, проведение ремонта (включая капитальный), реконструкции спортивных залов и площадок школ (в том числе устройство и благоустройство новых))</t>
    </r>
    <r>
      <rPr>
        <sz val="14"/>
        <rFont val="Times New Roman"/>
        <family val="1"/>
        <charset val="204"/>
      </rPr>
      <t xml:space="preserve"> / </t>
    </r>
  </si>
  <si>
    <r>
      <t xml:space="preserve">Обеспечение антитеррористической защищенности в ОБО и ОДОД </t>
    </r>
    <r>
      <rPr>
        <sz val="12"/>
        <rFont val="Times New Roman"/>
        <family val="1"/>
        <charset val="204"/>
      </rPr>
      <t>(проектирование, установка и монтаж видеонаблюдения, включая приобретение необходимого оборудования, материальных запасов; устройство, реконструкция, ремонт и иные мероприятия, направленные на восстановление целостности ограждения) и видеодомофонов</t>
    </r>
    <r>
      <rPr>
        <sz val="14"/>
        <rFont val="Times New Roman"/>
        <family val="1"/>
        <charset val="204"/>
      </rPr>
      <t xml:space="preserve"> / количество ОБО и ОДОД, оснащенных системами видеонаблюдения</t>
    </r>
  </si>
  <si>
    <t>/ количество ОБО и ОДОД, в которых улучшено техническое состояние зданий и (или) их территорий в рамках наказов избирателей депутатов Оренбургского городского Совета и социально значимых мероприятий</t>
  </si>
  <si>
    <t>Мероприятие 3. Организация отдыха и сопровождение деятельности образовательных организаций, оздоровление детей в каникулярное время, оказание методической, психолого-педагогической помощи</t>
  </si>
  <si>
    <t>3.4.</t>
  </si>
  <si>
    <t>3.5.</t>
  </si>
  <si>
    <t>3.6.</t>
  </si>
  <si>
    <t>Обеспечение антитеррористической защищенности в муниципальных загородных детских оздоровительных лагерях (проектирование, установка и монтаж видеонаблюдения, включая приобретение необходимого оборудования, материальных запасов) / Количество лагерей, оснащенных системами видеонаблюдения</t>
  </si>
  <si>
    <t>Обеспечение пожарной безопасности в муниципальных загородных детских оздоровительных лагерях (оснащение современными комплексами инженерно-технических систем обеспечения безопасности (приобретение, монтаж оборудования, модернизация и ремонт, ранее установленного АПС, ОДС, СОУЭ); обеспечение безаварийной работы систем электроснабжения (проектирование, реконструкция, капитальный ремонт, ремонтные, монтажные работы и иные мероприятия); содержание в исправном состоянии эвакуационных путей и выходов в соответствии с требованиями безопасной эвакуации людей при пожаре (приведение путей эвакуации и эвакуационных выходов в соответствии с требованиями пожарной безопасности)) / количество лагерей, оснащенных оборудованием ОДС</t>
  </si>
  <si>
    <t>Управление в сфере образования города Оренбурга и обеспечение финансово-хозяйственной деятельности муниципальных организаций, подведомственных УО / Количество муниципальных организаций города Оренбурга, в отношении которых МКУ «УОФХДОУ» осуществляет финансовое сопровождение деятельности</t>
  </si>
  <si>
    <t>Мероприятие 4. Обеспечение деятельности управления образования по исполнению функций органов местного самоуправления по решению вопросов местного значения</t>
  </si>
  <si>
    <t>Обеспечение деятельности УО по исполнению функций органов местного самоуправления по решению вопросов местного значения  / количество финансируемых организаций, обеспечивающих реализацию функций местного самоуправления в сфере «Образования»</t>
  </si>
  <si>
    <t>Обеспечение выплат на содержание ребенка в семье опекуна/Количество детей, находящихся под опекой</t>
  </si>
  <si>
    <t>Обеспечение выплат на содержание ребенка в приемной семье и вознаграждения причитающегося приемному родителю/Количество детей, находящихся в приемной семье</t>
  </si>
  <si>
    <t>Обеспечение выплат единовременного пособия при всех формах устройства детей, лишенных родительских прав, в семье/количество детей впервые устроенные в приемную семью или оформленные под опеку</t>
  </si>
  <si>
    <t>Обеспечение выплатой на возмещение расходов, связанных с предоставлением компенсации расходов на оплату жилых помещений, отопление и освещение педагогическим работникам, работающим и проживающим в сельской местности/количество педагогических работников, пользующихся льготами по оплате за жилые помещения, отопление и освещение</t>
  </si>
  <si>
    <t>Обеспечение выплат компенсации части родительской платы за присмотр и уход за детьми, посещающими образовательные организации, реализующие общеобразовательную программу дошкольного образования/количество детей, посещающих образовательные организации, реализующих общеобразовательную программу дошкольного образования и имеющие право на компенсацию части родительской платы</t>
  </si>
  <si>
    <t>Тыс.чел.</t>
  </si>
  <si>
    <t>3.7.</t>
  </si>
  <si>
    <t>3.8.</t>
  </si>
  <si>
    <t>3.9.</t>
  </si>
  <si>
    <t>3.10.</t>
  </si>
  <si>
    <t>15.</t>
  </si>
  <si>
    <t>Результат 15. Снижение доли обучающихся в ОБО, занимающихся во вторую смену, к общей численности обучающихся в ОБО</t>
  </si>
  <si>
    <t xml:space="preserve">Обеспечение пожарной безопасности в ДОО </t>
  </si>
  <si>
    <t>Улучшение технического состояния зданий ДОО и (или) их территорий</t>
  </si>
  <si>
    <t>УО, ДОО</t>
  </si>
  <si>
    <t xml:space="preserve">Обеспечение антитеррористической защищенности в ДОО </t>
  </si>
  <si>
    <t xml:space="preserve">Мероприятия, выполняемые ДОО в рамках наказов избирателей депутатов Оренбургского городского Совета </t>
  </si>
  <si>
    <t>Формирование универсальной безбарьерной среды для инклюзивного образования детей-инвалидов в ДОО</t>
  </si>
  <si>
    <t>Улучшение технического состояния зданий ОБО и ОДОД и (или) их территорий</t>
  </si>
  <si>
    <t>Обеспечение пожарной безопасности в ОБО и ОДОД</t>
  </si>
  <si>
    <t>УО, ОБО</t>
  </si>
  <si>
    <t>УО, ОБО, ОДОД</t>
  </si>
  <si>
    <t>Обеспечение антитеррористической защищенности в ОБО, ОДОД</t>
  </si>
  <si>
    <t xml:space="preserve">Мероприятия, направленные на популяризацию баскетбола среди учащихся школ </t>
  </si>
  <si>
    <t>Мероприятия, выполняемые ОБО, ОДОД в рамках наказов избирателей депутатов ОГС и социально значимых мероприятий</t>
  </si>
  <si>
    <t>КУИ</t>
  </si>
  <si>
    <t>16.</t>
  </si>
  <si>
    <t>17.</t>
  </si>
  <si>
    <t>Улучшение технического состояния зданий муниципальных загородных детских оздоровительных лагерей и (или) их территорий</t>
  </si>
  <si>
    <t>18.</t>
  </si>
  <si>
    <t>Обеспечение пожарной безопасности в муниципальных загородных детских оздоровительных лагерях</t>
  </si>
  <si>
    <t>УО, ОДОД, ПО</t>
  </si>
  <si>
    <t>19.</t>
  </si>
  <si>
    <t>Обеспечение антитеррористической защищенности в муниципальных загородных ДОЛ</t>
  </si>
  <si>
    <t>20.</t>
  </si>
  <si>
    <t>21.</t>
  </si>
  <si>
    <t>Обеспечение деятельности управления образования по исполнению функций органов местного самоуправления по решению вопросов местного значения</t>
  </si>
  <si>
    <t>Мероприятие 4. Обеспечение реализации функций органов местного самоуправления в сфере образования</t>
  </si>
  <si>
    <t>МКУ "УОФХДОУ"</t>
  </si>
  <si>
    <t>УО</t>
  </si>
  <si>
    <t>УО, ДОО, ПО, МКУ</t>
  </si>
  <si>
    <t>2016
факт</t>
  </si>
  <si>
    <t>мест</t>
  </si>
  <si>
    <t>2017
факт</t>
  </si>
  <si>
    <t>повышение заработной платы педагогических работников учреждений дополнительного образования г.Оренбурга</t>
  </si>
  <si>
    <t>Приобретение нежилого отдельно стоящего здания, введенного в эксплуатацию, оснащенного оборудованием и средствами обучения и воспитания, расположенных в 17 мкрн в г.Оренбурге для размещения ОБО, в ч. оплата кредиторской задолженности</t>
  </si>
  <si>
    <t>Приобретение нежилого отдельно стоящего здания, введенного в эксплуатацию, оснащенного оборудованием и средствами обучения и воспитания, расположенных в 19 мкрн в г.Оренбурге для размещения ОБО, в ч. оплата кредиторской задолженности</t>
  </si>
  <si>
    <t xml:space="preserve">Мероприятия, выполняемые в загородных лагерях в рамках наказов избирателей депутатам ОГС (согласно ежегодному решению ОГС) </t>
  </si>
  <si>
    <t>3.11.</t>
  </si>
  <si>
    <t>ежегодная премия руководителям ОО / количество руководителей ОО, получивших премию администрации города Оренбурга/ количество руководителей ОО, получивших премию администрации г.Оренбурга</t>
  </si>
  <si>
    <t>Лимит бюджетных обязательств (ЛБО), утв. ГРБС на 31.12.2017</t>
  </si>
  <si>
    <t>22.</t>
  </si>
  <si>
    <t>о ходе реализации в 2017 году муниципальной программы «Доступное образование в городе Оренбурге» на 2015-2020 годы</t>
  </si>
  <si>
    <t>/количество руководителей ОО, получивших премию администрации города Оренбург</t>
  </si>
  <si>
    <r>
      <t xml:space="preserve">Мероприятия, выполняемые ДОО в рамках наказов избирателей депутатов Оренбургского городского Совета </t>
    </r>
    <r>
      <rPr>
        <sz val="14"/>
        <rFont val="Times New Roman"/>
        <family val="1"/>
        <charset val="204"/>
      </rPr>
      <t>(проектные экспертные, ремонтные, монтажные работы, благоустройство территории, приобретение основных средств, оборудования, материалов, производственного и хозяйственного инвентаря)</t>
    </r>
  </si>
  <si>
    <t>1.1.</t>
  </si>
  <si>
    <t>1.2.</t>
  </si>
  <si>
    <t>1.3.</t>
  </si>
  <si>
    <t>1.5.</t>
  </si>
  <si>
    <t>1.6.</t>
  </si>
  <si>
    <r>
      <t xml:space="preserve">Мероприятия, выполняемые ОБО, ОДОД в рамках наказов избирателей депутатов Оренбургского городского Совета </t>
    </r>
    <r>
      <rPr>
        <sz val="12"/>
        <rFont val="Times New Roman"/>
        <family val="1"/>
        <charset val="204"/>
      </rPr>
      <t>(проектные экспертные, ремонтные, монтажные работы, благоустройство территории, приобретение основных средств, оборудования, материалов, производственного и хозяйственного инвентаря)</t>
    </r>
    <r>
      <rPr>
        <sz val="14"/>
        <rFont val="Times New Roman"/>
        <family val="1"/>
        <charset val="204"/>
      </rPr>
      <t xml:space="preserve"> / </t>
    </r>
  </si>
  <si>
    <t>Создание новых мест с целью ликвидации II смены в ОБО:</t>
  </si>
  <si>
    <t>показатель был запланирован и выполнен в 2016 году</t>
  </si>
  <si>
    <t>/ количество ОБО и ОДОД, которыми приобретены основные средства, оборудование, материалы, производственный и хозяйственный инвентарь в рамках наказов избирателей депутатов Оренбургского городского Совета и социально значимых мероприятий</t>
  </si>
  <si>
    <t>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 расчете на 1 предмет) в 10 % школ с худшими результатами ЕГЭ</t>
  </si>
  <si>
    <t>2017
план</t>
  </si>
  <si>
    <t>Приобретение нежилого отдельно стоящего здания, введенного в эксплуатацию, оснащенного оборудованием и средствами обучения и воспитания, расположенных в 17 мкрн в г.Оренбурге для размещения ОБО, в т.ч. оплата кредиторской задолженности</t>
  </si>
  <si>
    <t>Перепрофилирование помещений в действующих ОО для открытия дополнительных групп (проектные, экспертные, ремонтные работы), работы по реконструкции, благоустройство территории, приобретение ОС, МЗ, производственного и хозяйственного инвентаря, пр. / Количество дополнительно созданных дошкольных мест</t>
  </si>
  <si>
    <t>лбо</t>
  </si>
  <si>
    <t>ост ассигн</t>
  </si>
  <si>
    <t>итого по пр</t>
  </si>
  <si>
    <t>обл</t>
  </si>
  <si>
    <t>федер</t>
  </si>
  <si>
    <t>местный бюдж</t>
  </si>
  <si>
    <t>итого</t>
  </si>
  <si>
    <t>меропр 2(УО)</t>
  </si>
  <si>
    <t>меропр 2 (КУИ)</t>
  </si>
  <si>
    <t>всего по пр.06…(уо)</t>
  </si>
  <si>
    <t>всего по пр.06…(куи)</t>
  </si>
  <si>
    <t>ИТОГО по прогр.06..</t>
  </si>
  <si>
    <t>исполнение по программе "Доступное образование в г.Оренбурге" за 2017 год</t>
  </si>
  <si>
    <t>98 76 38</t>
  </si>
  <si>
    <t>исп. Н.Н.Таналина</t>
  </si>
  <si>
    <t>21.02.2018г</t>
  </si>
  <si>
    <t>Справочная сводная информация</t>
  </si>
  <si>
    <t xml:space="preserve">по исполнению  в 2 0 1 7 году </t>
  </si>
  <si>
    <t xml:space="preserve"> муниципальной программы  "Доступное образование в городе Оренбурге" на 2015-2020годы"</t>
  </si>
  <si>
    <t>утверждено</t>
  </si>
  <si>
    <t>исполнено</t>
  </si>
  <si>
    <t>мероприятие 1</t>
  </si>
  <si>
    <t>мероприятие 3</t>
  </si>
  <si>
    <t>мероприятие 4</t>
  </si>
  <si>
    <t>всего мероприятие 2</t>
  </si>
  <si>
    <t>меропр 2(КУИ)</t>
  </si>
  <si>
    <t>в т.ч по прогр.(только УО)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</si>
</sst>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vertAlign val="subscript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>
      <alignment vertical="top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65" fontId="6" fillId="2" borderId="1" xfId="1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164" fontId="4" fillId="2" borderId="1" xfId="1" applyNumberFormat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2"/>
    </xf>
    <xf numFmtId="0" fontId="7" fillId="2" borderId="4" xfId="0" applyFont="1" applyFill="1" applyBorder="1" applyAlignment="1">
      <alignment horizontal="left" vertical="top" wrapText="1" indent="2"/>
    </xf>
    <xf numFmtId="0" fontId="6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3"/>
    </xf>
    <xf numFmtId="165" fontId="2" fillId="2" borderId="1" xfId="0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0" fontId="4" fillId="2" borderId="1" xfId="1" applyNumberFormat="1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>
      <alignment horizontal="left" vertical="top" wrapText="1" indent="1"/>
    </xf>
    <xf numFmtId="165" fontId="6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 indent="4"/>
    </xf>
    <xf numFmtId="3" fontId="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165" fontId="7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5" fontId="7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165" fontId="6" fillId="2" borderId="5" xfId="0" applyNumberFormat="1" applyFont="1" applyFill="1" applyBorder="1" applyAlignment="1">
      <alignment horizontal="right" vertical="top" wrapText="1"/>
    </xf>
    <xf numFmtId="165" fontId="6" fillId="2" borderId="6" xfId="0" applyNumberFormat="1" applyFont="1" applyFill="1" applyBorder="1" applyAlignment="1">
      <alignment horizontal="right" vertical="top" wrapText="1"/>
    </xf>
    <xf numFmtId="164" fontId="6" fillId="2" borderId="5" xfId="1" applyNumberFormat="1" applyFont="1" applyFill="1" applyBorder="1" applyAlignment="1" applyProtection="1">
      <alignment horizontal="center" vertical="top" wrapText="1"/>
      <protection hidden="1"/>
    </xf>
    <xf numFmtId="165" fontId="6" fillId="2" borderId="5" xfId="1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164" fontId="6" fillId="2" borderId="4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165" fontId="6" fillId="2" borderId="5" xfId="0" applyNumberFormat="1" applyFont="1" applyFill="1" applyBorder="1" applyAlignment="1">
      <alignment horizontal="right" vertical="top" wrapText="1"/>
    </xf>
    <xf numFmtId="165" fontId="6" fillId="2" borderId="6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top" wrapText="1"/>
    </xf>
    <xf numFmtId="164" fontId="4" fillId="3" borderId="1" xfId="1" applyNumberFormat="1" applyFont="1" applyFill="1" applyBorder="1" applyAlignment="1" applyProtection="1">
      <alignment horizontal="center" vertical="top" wrapText="1"/>
      <protection hidden="1"/>
    </xf>
    <xf numFmtId="165" fontId="4" fillId="3" borderId="1" xfId="1" applyNumberFormat="1" applyFont="1" applyFill="1" applyBorder="1" applyAlignment="1">
      <alignment horizontal="right" vertical="top" wrapText="1"/>
    </xf>
    <xf numFmtId="0" fontId="2" fillId="3" borderId="0" xfId="0" applyFont="1" applyFill="1" applyAlignment="1">
      <alignment vertical="top"/>
    </xf>
    <xf numFmtId="165" fontId="4" fillId="3" borderId="1" xfId="0" applyNumberFormat="1" applyFont="1" applyFill="1" applyBorder="1" applyAlignment="1">
      <alignment horizontal="right" vertical="top"/>
    </xf>
    <xf numFmtId="0" fontId="2" fillId="3" borderId="0" xfId="0" applyFont="1" applyFill="1" applyAlignment="1" applyProtection="1">
      <alignment vertical="top"/>
      <protection hidden="1"/>
    </xf>
    <xf numFmtId="4" fontId="0" fillId="0" borderId="0" xfId="0" applyNumberFormat="1"/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top" wrapText="1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/>
    <xf numFmtId="165" fontId="2" fillId="2" borderId="0" xfId="0" applyNumberFormat="1" applyFont="1" applyFill="1" applyBorder="1"/>
    <xf numFmtId="165" fontId="3" fillId="2" borderId="0" xfId="0" applyNumberFormat="1" applyFont="1" applyFill="1" applyBorder="1"/>
    <xf numFmtId="0" fontId="0" fillId="0" borderId="1" xfId="0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/>
    <xf numFmtId="4" fontId="0" fillId="4" borderId="0" xfId="0" applyNumberFormat="1" applyFill="1"/>
    <xf numFmtId="0" fontId="0" fillId="4" borderId="0" xfId="0" applyFill="1"/>
    <xf numFmtId="0" fontId="10" fillId="5" borderId="1" xfId="0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vertical="center"/>
    </xf>
    <xf numFmtId="4" fontId="10" fillId="5" borderId="0" xfId="0" applyNumberFormat="1" applyFont="1" applyFill="1"/>
    <xf numFmtId="0" fontId="10" fillId="5" borderId="0" xfId="0" applyFont="1" applyFill="1"/>
    <xf numFmtId="165" fontId="6" fillId="0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center" vertical="top" wrapText="1"/>
    </xf>
    <xf numFmtId="165" fontId="6" fillId="2" borderId="5" xfId="1" applyNumberFormat="1" applyFont="1" applyFill="1" applyBorder="1" applyAlignment="1">
      <alignment horizontal="center" vertical="top" wrapText="1"/>
    </xf>
    <xf numFmtId="165" fontId="6" fillId="2" borderId="6" xfId="1" applyNumberFormat="1" applyFont="1" applyFill="1" applyBorder="1" applyAlignment="1">
      <alignment horizontal="center" vertical="top" wrapText="1"/>
    </xf>
    <xf numFmtId="164" fontId="6" fillId="2" borderId="4" xfId="1" applyNumberFormat="1" applyFont="1" applyFill="1" applyBorder="1" applyAlignment="1" applyProtection="1">
      <alignment horizontal="center" vertical="top" wrapText="1"/>
      <protection hidden="1"/>
    </xf>
    <xf numFmtId="164" fontId="6" fillId="2" borderId="5" xfId="1" applyNumberFormat="1" applyFont="1" applyFill="1" applyBorder="1" applyAlignment="1" applyProtection="1">
      <alignment horizontal="center" vertical="top" wrapText="1"/>
      <protection hidden="1"/>
    </xf>
    <xf numFmtId="164" fontId="6" fillId="2" borderId="6" xfId="1" applyNumberFormat="1" applyFont="1" applyFill="1" applyBorder="1" applyAlignment="1" applyProtection="1">
      <alignment horizontal="center" vertical="top" wrapText="1"/>
      <protection hidden="1"/>
    </xf>
    <xf numFmtId="165" fontId="6" fillId="2" borderId="4" xfId="0" applyNumberFormat="1" applyFont="1" applyFill="1" applyBorder="1" applyAlignment="1">
      <alignment horizontal="right" vertical="top" wrapText="1"/>
    </xf>
    <xf numFmtId="165" fontId="6" fillId="2" borderId="5" xfId="0" applyNumberFormat="1" applyFont="1" applyFill="1" applyBorder="1" applyAlignment="1">
      <alignment horizontal="right" vertical="top" wrapText="1"/>
    </xf>
    <xf numFmtId="165" fontId="6" fillId="2" borderId="6" xfId="0" applyNumberFormat="1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5" fontId="6" fillId="2" borderId="4" xfId="1" applyNumberFormat="1" applyFont="1" applyFill="1" applyBorder="1" applyAlignment="1">
      <alignment horizontal="right" vertical="top" wrapText="1"/>
    </xf>
    <xf numFmtId="165" fontId="6" fillId="2" borderId="5" xfId="1" applyNumberFormat="1" applyFont="1" applyFill="1" applyBorder="1" applyAlignment="1">
      <alignment horizontal="right" vertical="top" wrapText="1"/>
    </xf>
    <xf numFmtId="165" fontId="6" fillId="2" borderId="6" xfId="1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right"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165" fontId="6" fillId="0" borderId="6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66" fontId="4" fillId="2" borderId="1" xfId="1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 indent="4"/>
    </xf>
    <xf numFmtId="0" fontId="4" fillId="3" borderId="10" xfId="0" applyFont="1" applyFill="1" applyBorder="1" applyAlignment="1">
      <alignment horizontal="left" vertical="top" wrapText="1" indent="4"/>
    </xf>
    <xf numFmtId="0" fontId="4" fillId="3" borderId="3" xfId="0" applyFont="1" applyFill="1" applyBorder="1" applyAlignment="1">
      <alignment horizontal="left" vertical="top" wrapText="1" indent="4"/>
    </xf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164" fontId="6" fillId="2" borderId="4" xfId="1" applyNumberFormat="1" applyFont="1" applyFill="1" applyBorder="1" applyAlignment="1">
      <alignment horizontal="center" vertical="top"/>
    </xf>
    <xf numFmtId="164" fontId="6" fillId="2" borderId="6" xfId="1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indent="2"/>
    </xf>
    <xf numFmtId="0" fontId="2" fillId="2" borderId="10" xfId="0" applyFont="1" applyFill="1" applyBorder="1" applyAlignment="1">
      <alignment horizontal="left" vertical="top" indent="2"/>
    </xf>
    <xf numFmtId="0" fontId="2" fillId="2" borderId="11" xfId="0" applyFont="1" applyFill="1" applyBorder="1" applyAlignment="1">
      <alignment horizontal="left" vertical="top" indent="2"/>
    </xf>
    <xf numFmtId="0" fontId="2" fillId="2" borderId="0" xfId="0" applyFont="1" applyFill="1" applyBorder="1" applyAlignment="1">
      <alignment horizontal="left" vertical="top" indent="2"/>
    </xf>
    <xf numFmtId="0" fontId="2" fillId="2" borderId="13" xfId="0" applyFont="1" applyFill="1" applyBorder="1" applyAlignment="1">
      <alignment horizontal="left" vertical="top" indent="2"/>
    </xf>
    <xf numFmtId="0" fontId="2" fillId="2" borderId="15" xfId="0" applyFont="1" applyFill="1" applyBorder="1" applyAlignment="1">
      <alignment horizontal="left" vertical="top" indent="2"/>
    </xf>
    <xf numFmtId="0" fontId="2" fillId="2" borderId="11" xfId="0" applyFont="1" applyFill="1" applyBorder="1" applyAlignment="1">
      <alignment horizontal="left" vertical="top" indent="1"/>
    </xf>
    <xf numFmtId="0" fontId="2" fillId="2" borderId="12" xfId="0" applyFont="1" applyFill="1" applyBorder="1" applyAlignment="1">
      <alignment horizontal="left" vertical="top" indent="1"/>
    </xf>
    <xf numFmtId="0" fontId="2" fillId="2" borderId="13" xfId="0" applyFont="1" applyFill="1" applyBorder="1" applyAlignment="1">
      <alignment horizontal="left" vertical="top" indent="1"/>
    </xf>
    <xf numFmtId="0" fontId="2" fillId="2" borderId="14" xfId="0" applyFont="1" applyFill="1" applyBorder="1" applyAlignment="1">
      <alignment horizontal="left" vertical="top" inden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104"/>
  <sheetViews>
    <sheetView view="pageBreakPreview" topLeftCell="A98" zoomScale="60" zoomScaleNormal="73" workbookViewId="0">
      <selection activeCell="D34" sqref="D34:E34"/>
    </sheetView>
  </sheetViews>
  <sheetFormatPr defaultColWidth="9.109375" defaultRowHeight="18" outlineLevelRow="2" outlineLevelCol="1"/>
  <cols>
    <col min="1" max="1" width="6.88671875" style="3" customWidth="1"/>
    <col min="2" max="2" width="76.5546875" style="3" customWidth="1"/>
    <col min="3" max="3" width="14.88671875" style="3" customWidth="1"/>
    <col min="4" max="4" width="16.109375" style="3" customWidth="1"/>
    <col min="5" max="5" width="17.44140625" style="3" customWidth="1"/>
    <col min="6" max="6" width="16.5546875" style="3" customWidth="1" outlineLevel="1"/>
    <col min="7" max="7" width="19.6640625" style="3" customWidth="1" outlineLevel="1"/>
    <col min="8" max="8" width="19.5546875" style="3" customWidth="1"/>
    <col min="9" max="9" width="18.109375" style="3" customWidth="1"/>
    <col min="10" max="10" width="17.88671875" style="3" customWidth="1" outlineLevel="1"/>
    <col min="11" max="11" width="24.109375" style="3" customWidth="1" outlineLevel="1"/>
    <col min="12" max="16384" width="9.109375" style="3"/>
  </cols>
  <sheetData>
    <row r="1" spans="1:11" s="11" customFormat="1" ht="2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11" customFormat="1" ht="21">
      <c r="A2" s="161" t="s">
        <v>197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s="13" customFormat="1" ht="23.25" customHeight="1">
      <c r="A3" s="162"/>
      <c r="B3" s="162"/>
      <c r="C3" s="162"/>
    </row>
    <row r="4" spans="1:11" ht="20.25" customHeight="1">
      <c r="A4" s="163" t="s">
        <v>1</v>
      </c>
      <c r="B4" s="163"/>
      <c r="C4" s="14"/>
      <c r="E4" s="60"/>
      <c r="F4" s="60"/>
      <c r="G4" s="60"/>
      <c r="H4" s="60"/>
      <c r="I4" s="60"/>
      <c r="J4" s="60"/>
      <c r="K4" s="60"/>
    </row>
    <row r="5" spans="1:11" ht="21.75" customHeight="1">
      <c r="A5" s="163" t="s">
        <v>24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21.75" customHeight="1">
      <c r="C6" s="60"/>
      <c r="D6" s="60"/>
      <c r="E6" s="60"/>
      <c r="F6" s="60"/>
      <c r="G6" s="60"/>
      <c r="H6" s="60"/>
      <c r="I6" s="60"/>
      <c r="J6" s="60"/>
      <c r="K6" s="60"/>
    </row>
    <row r="7" spans="1:11" ht="20.25" customHeight="1">
      <c r="A7" s="163" t="s">
        <v>10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spans="1:11" ht="20.25" customHeight="1"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s="2" customFormat="1" ht="138.75" customHeight="1">
      <c r="A9" s="1" t="s">
        <v>2</v>
      </c>
      <c r="B9" s="1" t="s">
        <v>12</v>
      </c>
      <c r="C9" s="1" t="s">
        <v>13</v>
      </c>
      <c r="D9" s="1" t="s">
        <v>3</v>
      </c>
      <c r="E9" s="1" t="s">
        <v>4</v>
      </c>
      <c r="F9" s="1" t="s">
        <v>19</v>
      </c>
      <c r="G9" s="1" t="s">
        <v>11</v>
      </c>
      <c r="H9" s="1" t="s">
        <v>8</v>
      </c>
      <c r="I9" s="1" t="s">
        <v>9</v>
      </c>
      <c r="J9" s="1" t="s">
        <v>44</v>
      </c>
      <c r="K9" s="1" t="s">
        <v>23</v>
      </c>
    </row>
    <row r="10" spans="1:11" s="2" customFormat="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</row>
    <row r="11" spans="1:11" s="94" customFormat="1" ht="26.25" customHeight="1">
      <c r="A11" s="164" t="s">
        <v>97</v>
      </c>
      <c r="B11" s="165"/>
      <c r="C11" s="165"/>
      <c r="D11" s="165"/>
      <c r="E11" s="165"/>
      <c r="F11" s="165"/>
      <c r="G11" s="166"/>
      <c r="H11" s="93">
        <f>SUM(H12:H27)</f>
        <v>2282865.7000000002</v>
      </c>
      <c r="I11" s="93">
        <f>SUM(I12:I27)</f>
        <v>2274686.9999999995</v>
      </c>
      <c r="J11" s="90">
        <f>I11/H11</f>
        <v>0.99641735385484975</v>
      </c>
      <c r="K11" s="91">
        <f>I11-H11</f>
        <v>-8178.7000000006519</v>
      </c>
    </row>
    <row r="12" spans="1:11" ht="36" outlineLevel="1">
      <c r="A12" s="139" t="s">
        <v>200</v>
      </c>
      <c r="B12" s="23" t="s">
        <v>25</v>
      </c>
      <c r="C12" s="24"/>
      <c r="D12" s="12" t="s">
        <v>6</v>
      </c>
      <c r="E12" s="12" t="s">
        <v>6</v>
      </c>
      <c r="F12" s="8" t="s">
        <v>6</v>
      </c>
      <c r="G12" s="9" t="s">
        <v>6</v>
      </c>
      <c r="H12" s="130">
        <f>1039176.4+1180610.2</f>
        <v>2219786.6</v>
      </c>
      <c r="I12" s="130">
        <f>1039063.7+10623.4+1149425.3+19235.9</f>
        <v>2218348.2999999998</v>
      </c>
      <c r="J12" s="127">
        <f>I12/H12</f>
        <v>0.9993520548326581</v>
      </c>
      <c r="K12" s="124">
        <f>I12-H12</f>
        <v>-1438.3000000002794</v>
      </c>
    </row>
    <row r="13" spans="1:11" ht="36" outlineLevel="1">
      <c r="A13" s="141"/>
      <c r="B13" s="25" t="s">
        <v>41</v>
      </c>
      <c r="C13" s="24" t="s">
        <v>26</v>
      </c>
      <c r="D13" s="9">
        <v>33948</v>
      </c>
      <c r="E13" s="9">
        <f>34736+681</f>
        <v>35417</v>
      </c>
      <c r="F13" s="8">
        <f>IF(E13/D13&gt;150%,1.5,E13/D13)</f>
        <v>1.0432720631554142</v>
      </c>
      <c r="G13" s="9">
        <f>IF(E13-D13=0,"-",E13-D13)</f>
        <v>1469</v>
      </c>
      <c r="H13" s="131"/>
      <c r="I13" s="131"/>
      <c r="J13" s="128"/>
      <c r="K13" s="125"/>
    </row>
    <row r="14" spans="1:11" ht="36" outlineLevel="1">
      <c r="A14" s="141"/>
      <c r="B14" s="25" t="s">
        <v>42</v>
      </c>
      <c r="C14" s="24" t="s">
        <v>20</v>
      </c>
      <c r="D14" s="9">
        <v>138</v>
      </c>
      <c r="E14" s="9">
        <v>138</v>
      </c>
      <c r="F14" s="8">
        <f t="shared" ref="F14:F18" si="0">IF(E14/D14&gt;150%,1.5,E14/D14)</f>
        <v>1</v>
      </c>
      <c r="G14" s="9" t="str">
        <f t="shared" ref="G14:G18" si="1">IF(E14-D14=0,"-",E14-D14)</f>
        <v>-</v>
      </c>
      <c r="H14" s="131"/>
      <c r="I14" s="131"/>
      <c r="J14" s="128"/>
      <c r="K14" s="125"/>
    </row>
    <row r="15" spans="1:11" ht="59.25" customHeight="1" outlineLevel="1">
      <c r="A15" s="141"/>
      <c r="B15" s="25" t="s">
        <v>43</v>
      </c>
      <c r="C15" s="24" t="s">
        <v>26</v>
      </c>
      <c r="D15" s="9">
        <v>843</v>
      </c>
      <c r="E15" s="9">
        <v>845</v>
      </c>
      <c r="F15" s="8">
        <f t="shared" si="0"/>
        <v>1.0023724792408066</v>
      </c>
      <c r="G15" s="9">
        <f t="shared" si="1"/>
        <v>2</v>
      </c>
      <c r="H15" s="131"/>
      <c r="I15" s="131"/>
      <c r="J15" s="128"/>
      <c r="K15" s="125"/>
    </row>
    <row r="16" spans="1:11" ht="36" outlineLevel="1">
      <c r="A16" s="140"/>
      <c r="B16" s="25" t="s">
        <v>198</v>
      </c>
      <c r="C16" s="24" t="s">
        <v>26</v>
      </c>
      <c r="D16" s="9">
        <v>1</v>
      </c>
      <c r="E16" s="9">
        <v>1</v>
      </c>
      <c r="F16" s="8">
        <f t="shared" ref="F16" si="2">IF(E16/D16&gt;150%,1.5,E16/D16)</f>
        <v>1</v>
      </c>
      <c r="G16" s="9" t="str">
        <f t="shared" ref="G16" si="3">IF(E16-D16=0,"-",E16-D16)</f>
        <v>-</v>
      </c>
      <c r="H16" s="132"/>
      <c r="I16" s="132"/>
      <c r="J16" s="129"/>
      <c r="K16" s="126"/>
    </row>
    <row r="17" spans="1:11" ht="180" outlineLevel="1">
      <c r="A17" s="26" t="s">
        <v>201</v>
      </c>
      <c r="B17" s="23" t="s">
        <v>98</v>
      </c>
      <c r="C17" s="24" t="s">
        <v>20</v>
      </c>
      <c r="D17" s="9">
        <v>14</v>
      </c>
      <c r="E17" s="9">
        <v>17</v>
      </c>
      <c r="F17" s="8">
        <f t="shared" si="0"/>
        <v>1.2142857142857142</v>
      </c>
      <c r="G17" s="9">
        <f t="shared" si="1"/>
        <v>3</v>
      </c>
      <c r="H17" s="83">
        <v>8108.7</v>
      </c>
      <c r="I17" s="83">
        <v>6959.9</v>
      </c>
      <c r="J17" s="10">
        <f>I17/H17</f>
        <v>0.85832500894101393</v>
      </c>
      <c r="K17" s="5">
        <f>I17-H17</f>
        <v>-1148.8000000000002</v>
      </c>
    </row>
    <row r="18" spans="1:11" ht="18.75" customHeight="1" outlineLevel="1">
      <c r="A18" s="139" t="s">
        <v>202</v>
      </c>
      <c r="B18" s="23" t="s">
        <v>99</v>
      </c>
      <c r="C18" s="156" t="s">
        <v>187</v>
      </c>
      <c r="D18" s="156">
        <v>25</v>
      </c>
      <c r="E18" s="142">
        <v>25</v>
      </c>
      <c r="F18" s="158">
        <f t="shared" si="0"/>
        <v>1</v>
      </c>
      <c r="G18" s="142" t="str">
        <f t="shared" si="1"/>
        <v>-</v>
      </c>
      <c r="H18" s="130">
        <v>1546.9</v>
      </c>
      <c r="I18" s="130">
        <v>0</v>
      </c>
      <c r="J18" s="127">
        <f t="shared" ref="J18" si="4">I18/H18</f>
        <v>0</v>
      </c>
      <c r="K18" s="135">
        <f t="shared" ref="K18" si="5">I18-H18</f>
        <v>-1546.9</v>
      </c>
    </row>
    <row r="19" spans="1:11" ht="108" outlineLevel="1">
      <c r="A19" s="140"/>
      <c r="B19" s="44" t="s">
        <v>212</v>
      </c>
      <c r="C19" s="157"/>
      <c r="D19" s="157"/>
      <c r="E19" s="143"/>
      <c r="F19" s="159"/>
      <c r="G19" s="143"/>
      <c r="H19" s="132"/>
      <c r="I19" s="132"/>
      <c r="J19" s="129"/>
      <c r="K19" s="137"/>
    </row>
    <row r="20" spans="1:11" ht="233.25" customHeight="1" outlineLevel="2">
      <c r="A20" s="139">
        <v>4</v>
      </c>
      <c r="B20" s="23" t="s">
        <v>100</v>
      </c>
      <c r="C20" s="12" t="s">
        <v>6</v>
      </c>
      <c r="D20" s="9" t="s">
        <v>6</v>
      </c>
      <c r="E20" s="9" t="s">
        <v>6</v>
      </c>
      <c r="F20" s="8" t="s">
        <v>6</v>
      </c>
      <c r="G20" s="9" t="s">
        <v>6</v>
      </c>
      <c r="H20" s="130" t="s">
        <v>6</v>
      </c>
      <c r="I20" s="130"/>
      <c r="J20" s="130" t="s">
        <v>6</v>
      </c>
      <c r="K20" s="130" t="s">
        <v>6</v>
      </c>
    </row>
    <row r="21" spans="1:11" ht="20.25" customHeight="1" outlineLevel="2">
      <c r="A21" s="141"/>
      <c r="B21" s="25" t="s">
        <v>101</v>
      </c>
      <c r="C21" s="12" t="s">
        <v>6</v>
      </c>
      <c r="D21" s="9" t="s">
        <v>6</v>
      </c>
      <c r="E21" s="9" t="s">
        <v>6</v>
      </c>
      <c r="F21" s="8" t="s">
        <v>6</v>
      </c>
      <c r="G21" s="9" t="s">
        <v>6</v>
      </c>
      <c r="H21" s="131"/>
      <c r="I21" s="131"/>
      <c r="J21" s="131"/>
      <c r="K21" s="131"/>
    </row>
    <row r="22" spans="1:11" ht="21" outlineLevel="2">
      <c r="A22" s="140"/>
      <c r="B22" s="25" t="s">
        <v>102</v>
      </c>
      <c r="C22" s="12" t="s">
        <v>6</v>
      </c>
      <c r="D22" s="9" t="s">
        <v>6</v>
      </c>
      <c r="E22" s="9" t="s">
        <v>6</v>
      </c>
      <c r="F22" s="8" t="s">
        <v>6</v>
      </c>
      <c r="G22" s="9" t="s">
        <v>6</v>
      </c>
      <c r="H22" s="132"/>
      <c r="I22" s="132"/>
      <c r="J22" s="132"/>
      <c r="K22" s="132"/>
    </row>
    <row r="23" spans="1:11" ht="138" customHeight="1" outlineLevel="1">
      <c r="A23" s="78" t="s">
        <v>203</v>
      </c>
      <c r="B23" s="23" t="s">
        <v>103</v>
      </c>
      <c r="C23" s="12" t="s">
        <v>20</v>
      </c>
      <c r="D23" s="9">
        <v>17</v>
      </c>
      <c r="E23" s="9">
        <v>17</v>
      </c>
      <c r="F23" s="8">
        <f t="shared" ref="F23:F26" si="6">IF(E23/D23&gt;150%,1.5,E23/D23)</f>
        <v>1</v>
      </c>
      <c r="G23" s="9" t="str">
        <f t="shared" ref="G23:G26" si="7">IF(E23-D23=0,"-",E23-D23)</f>
        <v>-</v>
      </c>
      <c r="H23" s="63">
        <v>1500</v>
      </c>
      <c r="I23" s="81">
        <v>1500</v>
      </c>
      <c r="J23" s="10">
        <f t="shared" ref="J23:J24" si="8">I23/H23</f>
        <v>1</v>
      </c>
      <c r="K23" s="5">
        <f t="shared" ref="K23:K24" si="9">I23-H23</f>
        <v>0</v>
      </c>
    </row>
    <row r="24" spans="1:11" ht="99" customHeight="1" outlineLevel="1">
      <c r="A24" s="139" t="s">
        <v>204</v>
      </c>
      <c r="B24" s="23" t="s">
        <v>199</v>
      </c>
      <c r="C24" s="12" t="s">
        <v>6</v>
      </c>
      <c r="D24" s="9" t="s">
        <v>6</v>
      </c>
      <c r="E24" s="9" t="s">
        <v>6</v>
      </c>
      <c r="F24" s="8" t="s">
        <v>6</v>
      </c>
      <c r="G24" s="9" t="s">
        <v>6</v>
      </c>
      <c r="H24" s="130">
        <v>51923.5</v>
      </c>
      <c r="I24" s="130">
        <v>47878.8</v>
      </c>
      <c r="J24" s="127">
        <f t="shared" si="8"/>
        <v>0.92210270879274325</v>
      </c>
      <c r="K24" s="124">
        <f t="shared" si="9"/>
        <v>-4044.6999999999971</v>
      </c>
    </row>
    <row r="25" spans="1:11" ht="72" outlineLevel="1">
      <c r="A25" s="141"/>
      <c r="B25" s="25" t="s">
        <v>104</v>
      </c>
      <c r="C25" s="12" t="s">
        <v>20</v>
      </c>
      <c r="D25" s="9">
        <v>100</v>
      </c>
      <c r="E25" s="9">
        <v>80</v>
      </c>
      <c r="F25" s="8">
        <f t="shared" si="6"/>
        <v>0.8</v>
      </c>
      <c r="G25" s="9">
        <f t="shared" si="7"/>
        <v>-20</v>
      </c>
      <c r="H25" s="131"/>
      <c r="I25" s="131"/>
      <c r="J25" s="128"/>
      <c r="K25" s="125"/>
    </row>
    <row r="26" spans="1:11" ht="90" outlineLevel="1">
      <c r="A26" s="140"/>
      <c r="B26" s="25" t="s">
        <v>105</v>
      </c>
      <c r="C26" s="12" t="s">
        <v>20</v>
      </c>
      <c r="D26" s="9">
        <v>2</v>
      </c>
      <c r="E26" s="9">
        <v>54</v>
      </c>
      <c r="F26" s="8">
        <f t="shared" si="6"/>
        <v>1.5</v>
      </c>
      <c r="G26" s="9">
        <f t="shared" si="7"/>
        <v>52</v>
      </c>
      <c r="H26" s="132"/>
      <c r="I26" s="132"/>
      <c r="J26" s="129"/>
      <c r="K26" s="126"/>
    </row>
    <row r="27" spans="1:11" ht="144" outlineLevel="2">
      <c r="A27" s="78">
        <v>7</v>
      </c>
      <c r="B27" s="23" t="s">
        <v>106</v>
      </c>
      <c r="C27" s="12" t="s">
        <v>6</v>
      </c>
      <c r="D27" s="9" t="s">
        <v>6</v>
      </c>
      <c r="E27" s="9" t="s">
        <v>6</v>
      </c>
      <c r="F27" s="8" t="s">
        <v>6</v>
      </c>
      <c r="G27" s="9" t="s">
        <v>6</v>
      </c>
      <c r="H27" s="63" t="s">
        <v>6</v>
      </c>
      <c r="I27" s="81" t="s">
        <v>6</v>
      </c>
      <c r="J27" s="63" t="s">
        <v>6</v>
      </c>
      <c r="K27" s="63" t="s">
        <v>6</v>
      </c>
    </row>
    <row r="28" spans="1:11" s="92" customFormat="1" ht="44.25" customHeight="1">
      <c r="A28" s="167" t="s">
        <v>107</v>
      </c>
      <c r="B28" s="168"/>
      <c r="C28" s="168"/>
      <c r="D28" s="168"/>
      <c r="E28" s="168"/>
      <c r="F28" s="168"/>
      <c r="G28" s="169"/>
      <c r="H28" s="89">
        <f>H29+H43+H49+H52+H53+H54+H59+H63+H64</f>
        <v>4000812.5</v>
      </c>
      <c r="I28" s="89">
        <f>I29+I43+I49+I52+I53+I54+I59+I63+I64</f>
        <v>3972928.5000000005</v>
      </c>
      <c r="J28" s="90">
        <f t="shared" ref="J28" si="10">I28/H28</f>
        <v>0.99303041569681172</v>
      </c>
      <c r="K28" s="91">
        <f t="shared" ref="K28" si="11">I28-H28</f>
        <v>-27883.999999999534</v>
      </c>
    </row>
    <row r="29" spans="1:11" ht="36" outlineLevel="1">
      <c r="A29" s="139" t="s">
        <v>29</v>
      </c>
      <c r="B29" s="23" t="s">
        <v>27</v>
      </c>
      <c r="C29" s="24"/>
      <c r="D29" s="12" t="s">
        <v>6</v>
      </c>
      <c r="E29" s="12" t="s">
        <v>6</v>
      </c>
      <c r="F29" s="8" t="s">
        <v>6</v>
      </c>
      <c r="G29" s="9" t="s">
        <v>6</v>
      </c>
      <c r="H29" s="130">
        <f>1122021.6+1725868.9</f>
        <v>2847890.5</v>
      </c>
      <c r="I29" s="130">
        <v>2831132.5</v>
      </c>
      <c r="J29" s="127">
        <f>I29/H29</f>
        <v>0.99411564454461998</v>
      </c>
      <c r="K29" s="135">
        <f>I29-H29</f>
        <v>-16758</v>
      </c>
    </row>
    <row r="30" spans="1:11" ht="46.8" outlineLevel="2">
      <c r="A30" s="141"/>
      <c r="B30" s="27" t="s">
        <v>50</v>
      </c>
      <c r="C30" s="24" t="s">
        <v>26</v>
      </c>
      <c r="D30" s="9">
        <v>129259</v>
      </c>
      <c r="E30" s="9">
        <f>60908+48596+416</f>
        <v>109920</v>
      </c>
      <c r="F30" s="8">
        <f t="shared" ref="F30:F32" si="12">IF(E30/D30&gt;150%,1.5,E30/D30)</f>
        <v>0.85038565979931768</v>
      </c>
      <c r="G30" s="9">
        <f t="shared" ref="G30:G32" si="13">IF(E30-D30=0,"-",E30-D30)</f>
        <v>-19339</v>
      </c>
      <c r="H30" s="131"/>
      <c r="I30" s="131"/>
      <c r="J30" s="128"/>
      <c r="K30" s="136"/>
    </row>
    <row r="31" spans="1:11" ht="46.8" outlineLevel="2">
      <c r="A31" s="141"/>
      <c r="B31" s="27" t="s">
        <v>51</v>
      </c>
      <c r="C31" s="24" t="s">
        <v>20</v>
      </c>
      <c r="D31" s="9">
        <v>99</v>
      </c>
      <c r="E31" s="9">
        <f>85+15</f>
        <v>100</v>
      </c>
      <c r="F31" s="8">
        <f t="shared" si="12"/>
        <v>1.0101010101010102</v>
      </c>
      <c r="G31" s="9">
        <f t="shared" si="13"/>
        <v>1</v>
      </c>
      <c r="H31" s="131"/>
      <c r="I31" s="131"/>
      <c r="J31" s="128"/>
      <c r="K31" s="136"/>
    </row>
    <row r="32" spans="1:11" ht="69" customHeight="1" outlineLevel="2">
      <c r="A32" s="141"/>
      <c r="B32" s="28" t="s">
        <v>52</v>
      </c>
      <c r="C32" s="29" t="s">
        <v>26</v>
      </c>
      <c r="D32" s="72">
        <v>1683</v>
      </c>
      <c r="E32" s="72">
        <f>2221+853</f>
        <v>3074</v>
      </c>
      <c r="F32" s="73">
        <f t="shared" si="12"/>
        <v>1.5</v>
      </c>
      <c r="G32" s="72">
        <f t="shared" si="13"/>
        <v>1391</v>
      </c>
      <c r="H32" s="132"/>
      <c r="I32" s="132"/>
      <c r="J32" s="129"/>
      <c r="K32" s="137"/>
    </row>
    <row r="33" spans="1:11" ht="21" outlineLevel="2">
      <c r="A33" s="66"/>
      <c r="B33" s="46" t="s">
        <v>116</v>
      </c>
      <c r="C33" s="59"/>
      <c r="D33" s="9"/>
      <c r="E33" s="9"/>
      <c r="F33" s="8"/>
      <c r="G33" s="9"/>
      <c r="H33" s="67"/>
      <c r="I33" s="79"/>
      <c r="J33" s="69"/>
      <c r="K33" s="70"/>
    </row>
    <row r="34" spans="1:11" ht="80.25" customHeight="1" outlineLevel="2">
      <c r="A34" s="66"/>
      <c r="B34" s="25" t="s">
        <v>115</v>
      </c>
      <c r="C34" s="29" t="s">
        <v>26</v>
      </c>
      <c r="D34" s="120">
        <v>60908</v>
      </c>
      <c r="E34" s="120">
        <v>60908</v>
      </c>
      <c r="F34" s="8"/>
      <c r="G34" s="9"/>
      <c r="H34" s="117">
        <f>35701+59769.4</f>
        <v>95470.399999999994</v>
      </c>
      <c r="I34" s="117">
        <f>28220.5+55147.7</f>
        <v>83368.2</v>
      </c>
      <c r="J34" s="10">
        <f t="shared" ref="J34:J41" si="14">I34/H34</f>
        <v>0.87323610249878503</v>
      </c>
      <c r="K34" s="5">
        <f t="shared" ref="K34:K41" si="15">I34-H34</f>
        <v>-12102.199999999997</v>
      </c>
    </row>
    <row r="35" spans="1:11" ht="99.75" customHeight="1" outlineLevel="2">
      <c r="A35" s="66"/>
      <c r="B35" s="25" t="s">
        <v>108</v>
      </c>
      <c r="C35" s="29" t="s">
        <v>26</v>
      </c>
      <c r="D35" s="72">
        <v>35</v>
      </c>
      <c r="E35" s="72">
        <v>35</v>
      </c>
      <c r="F35" s="8">
        <f t="shared" ref="F35:F41" si="16">IF(E35/D35&gt;150%,1.5,E35/D35)</f>
        <v>1</v>
      </c>
      <c r="G35" s="9" t="str">
        <f t="shared" ref="G35:G41" si="17">IF(E35-D35=0,"-",E35-D35)</f>
        <v>-</v>
      </c>
      <c r="H35" s="63">
        <v>315</v>
      </c>
      <c r="I35" s="81">
        <v>315</v>
      </c>
      <c r="J35" s="10">
        <f t="shared" si="14"/>
        <v>1</v>
      </c>
      <c r="K35" s="5">
        <f t="shared" si="15"/>
        <v>0</v>
      </c>
    </row>
    <row r="36" spans="1:11" ht="96" customHeight="1" outlineLevel="2">
      <c r="A36" s="66"/>
      <c r="B36" s="25" t="s">
        <v>110</v>
      </c>
      <c r="C36" s="29" t="s">
        <v>20</v>
      </c>
      <c r="D36" s="72">
        <v>3</v>
      </c>
      <c r="E36" s="72">
        <v>3</v>
      </c>
      <c r="F36" s="8">
        <f t="shared" si="16"/>
        <v>1</v>
      </c>
      <c r="G36" s="9" t="str">
        <f t="shared" si="17"/>
        <v>-</v>
      </c>
      <c r="H36" s="63">
        <v>1500</v>
      </c>
      <c r="I36" s="81">
        <v>1500</v>
      </c>
      <c r="J36" s="10">
        <f t="shared" si="14"/>
        <v>1</v>
      </c>
      <c r="K36" s="5">
        <f t="shared" si="15"/>
        <v>0</v>
      </c>
    </row>
    <row r="37" spans="1:11" ht="96" customHeight="1" outlineLevel="2">
      <c r="A37" s="66"/>
      <c r="B37" s="25" t="s">
        <v>111</v>
      </c>
      <c r="C37" s="29" t="s">
        <v>26</v>
      </c>
      <c r="D37" s="72">
        <v>2</v>
      </c>
      <c r="E37" s="72">
        <v>2</v>
      </c>
      <c r="F37" s="8">
        <f t="shared" si="16"/>
        <v>1</v>
      </c>
      <c r="G37" s="9" t="str">
        <f t="shared" si="17"/>
        <v>-</v>
      </c>
      <c r="H37" s="63">
        <v>12</v>
      </c>
      <c r="I37" s="81">
        <v>12</v>
      </c>
      <c r="J37" s="10">
        <f t="shared" si="14"/>
        <v>1</v>
      </c>
      <c r="K37" s="5">
        <f t="shared" si="15"/>
        <v>0</v>
      </c>
    </row>
    <row r="38" spans="1:11" ht="72" outlineLevel="2">
      <c r="A38" s="66"/>
      <c r="B38" s="25" t="s">
        <v>112</v>
      </c>
      <c r="C38" s="29" t="s">
        <v>26</v>
      </c>
      <c r="D38" s="72">
        <v>4</v>
      </c>
      <c r="E38" s="72">
        <v>4</v>
      </c>
      <c r="F38" s="8">
        <f t="shared" si="16"/>
        <v>1</v>
      </c>
      <c r="G38" s="9" t="str">
        <f t="shared" si="17"/>
        <v>-</v>
      </c>
      <c r="H38" s="63">
        <v>200</v>
      </c>
      <c r="I38" s="81">
        <v>200</v>
      </c>
      <c r="J38" s="10">
        <f t="shared" si="14"/>
        <v>1</v>
      </c>
      <c r="K38" s="5">
        <f t="shared" si="15"/>
        <v>0</v>
      </c>
    </row>
    <row r="39" spans="1:11" ht="72" outlineLevel="2">
      <c r="A39" s="66"/>
      <c r="B39" s="25" t="s">
        <v>194</v>
      </c>
      <c r="C39" s="12" t="s">
        <v>26</v>
      </c>
      <c r="D39" s="9">
        <v>1</v>
      </c>
      <c r="E39" s="9">
        <v>1</v>
      </c>
      <c r="F39" s="8">
        <f t="shared" si="16"/>
        <v>1</v>
      </c>
      <c r="G39" s="9" t="str">
        <f t="shared" si="17"/>
        <v>-</v>
      </c>
      <c r="H39" s="63">
        <v>11</v>
      </c>
      <c r="I39" s="81">
        <v>11</v>
      </c>
      <c r="J39" s="10">
        <f t="shared" si="14"/>
        <v>1</v>
      </c>
      <c r="K39" s="5">
        <f t="shared" si="15"/>
        <v>0</v>
      </c>
    </row>
    <row r="40" spans="1:11" ht="135.75" customHeight="1" outlineLevel="2">
      <c r="A40" s="66"/>
      <c r="B40" s="25" t="s">
        <v>113</v>
      </c>
      <c r="C40" s="12" t="s">
        <v>20</v>
      </c>
      <c r="D40" s="9" t="s">
        <v>6</v>
      </c>
      <c r="E40" s="9" t="s">
        <v>6</v>
      </c>
      <c r="F40" s="8" t="s">
        <v>6</v>
      </c>
      <c r="G40" s="9" t="s">
        <v>6</v>
      </c>
      <c r="H40" s="63" t="s">
        <v>6</v>
      </c>
      <c r="I40" s="81" t="s">
        <v>6</v>
      </c>
      <c r="J40" s="63" t="s">
        <v>6</v>
      </c>
      <c r="K40" s="63" t="s">
        <v>6</v>
      </c>
    </row>
    <row r="41" spans="1:11" ht="58.5" customHeight="1" outlineLevel="2">
      <c r="A41" s="66"/>
      <c r="B41" s="25" t="s">
        <v>114</v>
      </c>
      <c r="C41" s="12" t="s">
        <v>20</v>
      </c>
      <c r="D41" s="9">
        <v>1</v>
      </c>
      <c r="E41" s="9">
        <v>20</v>
      </c>
      <c r="F41" s="8">
        <f t="shared" si="16"/>
        <v>1.5</v>
      </c>
      <c r="G41" s="9">
        <f t="shared" si="17"/>
        <v>19</v>
      </c>
      <c r="H41" s="63">
        <v>30</v>
      </c>
      <c r="I41" s="81">
        <v>30</v>
      </c>
      <c r="J41" s="10">
        <f t="shared" si="14"/>
        <v>1</v>
      </c>
      <c r="K41" s="5">
        <f t="shared" si="15"/>
        <v>0</v>
      </c>
    </row>
    <row r="42" spans="1:11" ht="42.75" customHeight="1" outlineLevel="2">
      <c r="A42" s="66"/>
      <c r="B42" s="25" t="s">
        <v>189</v>
      </c>
      <c r="C42" s="12" t="s">
        <v>26</v>
      </c>
      <c r="D42" s="99">
        <v>1071</v>
      </c>
      <c r="E42" s="99">
        <v>1071</v>
      </c>
      <c r="F42" s="8">
        <f t="shared" ref="F42" si="18">IF(E42/D42&gt;150%,1.5,E42/D42)</f>
        <v>1</v>
      </c>
      <c r="G42" s="9" t="str">
        <f t="shared" ref="G42" si="19">IF(E42-D42=0,"-",E42-D42)</f>
        <v>-</v>
      </c>
      <c r="H42" s="63">
        <f>40000+40000</f>
        <v>80000</v>
      </c>
      <c r="I42" s="81">
        <v>80000</v>
      </c>
      <c r="J42" s="10">
        <f t="shared" ref="J42" si="20">I42/H42</f>
        <v>1</v>
      </c>
      <c r="K42" s="5">
        <f t="shared" ref="K42" si="21">I42-H42</f>
        <v>0</v>
      </c>
    </row>
    <row r="43" spans="1:11" ht="194.25" customHeight="1" outlineLevel="1">
      <c r="A43" s="139" t="s">
        <v>30</v>
      </c>
      <c r="B43" s="23" t="s">
        <v>118</v>
      </c>
      <c r="C43" s="12"/>
      <c r="D43" s="12" t="s">
        <v>6</v>
      </c>
      <c r="E43" s="12" t="s">
        <v>6</v>
      </c>
      <c r="F43" s="8" t="s">
        <v>6</v>
      </c>
      <c r="G43" s="9" t="s">
        <v>6</v>
      </c>
      <c r="H43" s="63">
        <f>24994.2+322.3+16497.9</f>
        <v>41814.400000000001</v>
      </c>
      <c r="I43" s="81">
        <v>36657.9</v>
      </c>
      <c r="J43" s="10">
        <f>I43/H43</f>
        <v>0.87668123899900519</v>
      </c>
      <c r="K43" s="5">
        <f>I43-H43</f>
        <v>-5156.5</v>
      </c>
    </row>
    <row r="44" spans="1:11" ht="21" outlineLevel="2">
      <c r="A44" s="141"/>
      <c r="B44" s="46" t="s">
        <v>109</v>
      </c>
      <c r="C44" s="12"/>
      <c r="D44" s="12"/>
      <c r="E44" s="12"/>
      <c r="F44" s="8"/>
      <c r="G44" s="9"/>
      <c r="H44" s="63"/>
      <c r="I44" s="81"/>
      <c r="J44" s="10"/>
      <c r="K44" s="5"/>
    </row>
    <row r="45" spans="1:11" ht="96.75" customHeight="1" outlineLevel="2">
      <c r="A45" s="141"/>
      <c r="B45" s="25" t="s">
        <v>119</v>
      </c>
      <c r="C45" s="12" t="s">
        <v>6</v>
      </c>
      <c r="D45" s="12" t="s">
        <v>6</v>
      </c>
      <c r="E45" s="12" t="s">
        <v>6</v>
      </c>
      <c r="F45" s="8" t="s">
        <v>6</v>
      </c>
      <c r="G45" s="9" t="s">
        <v>6</v>
      </c>
      <c r="H45" s="138">
        <f>1329.9+15757.5</f>
        <v>17087.400000000001</v>
      </c>
      <c r="I45" s="138">
        <v>17087.400000000001</v>
      </c>
      <c r="J45" s="127">
        <f>I45/H45</f>
        <v>1</v>
      </c>
      <c r="K45" s="124">
        <f>I45-H45</f>
        <v>0</v>
      </c>
    </row>
    <row r="46" spans="1:11" ht="38.25" customHeight="1" outlineLevel="2">
      <c r="A46" s="141"/>
      <c r="B46" s="47" t="s">
        <v>53</v>
      </c>
      <c r="C46" s="12" t="s">
        <v>20</v>
      </c>
      <c r="D46" s="9">
        <v>12</v>
      </c>
      <c r="E46" s="9">
        <v>15</v>
      </c>
      <c r="F46" s="8">
        <f t="shared" ref="F46:F47" si="22">IF(E46/D46&gt;150%,1.5,E46/D46)</f>
        <v>1.25</v>
      </c>
      <c r="G46" s="9">
        <f t="shared" ref="G46:G47" si="23">IF(E46-D46=0,"-",E46-D46)</f>
        <v>3</v>
      </c>
      <c r="H46" s="138"/>
      <c r="I46" s="138"/>
      <c r="J46" s="128"/>
      <c r="K46" s="125"/>
    </row>
    <row r="47" spans="1:11" ht="96.75" customHeight="1" outlineLevel="2">
      <c r="A47" s="141"/>
      <c r="B47" s="47" t="s">
        <v>117</v>
      </c>
      <c r="C47" s="12" t="s">
        <v>20</v>
      </c>
      <c r="D47" s="9">
        <v>1</v>
      </c>
      <c r="E47" s="9">
        <v>1</v>
      </c>
      <c r="F47" s="8">
        <f t="shared" si="22"/>
        <v>1</v>
      </c>
      <c r="G47" s="9" t="str">
        <f t="shared" si="23"/>
        <v>-</v>
      </c>
      <c r="H47" s="138"/>
      <c r="I47" s="138"/>
      <c r="J47" s="128"/>
      <c r="K47" s="125"/>
    </row>
    <row r="48" spans="1:11" ht="90" outlineLevel="2">
      <c r="A48" s="66"/>
      <c r="B48" s="25" t="s">
        <v>120</v>
      </c>
      <c r="C48" s="12" t="s">
        <v>20</v>
      </c>
      <c r="D48" s="9">
        <v>1</v>
      </c>
      <c r="E48" s="9">
        <v>1</v>
      </c>
      <c r="F48" s="8">
        <f t="shared" ref="F48" si="24">IF(E48/D48&gt;150%,1.5,E48/D48)</f>
        <v>1</v>
      </c>
      <c r="G48" s="9" t="str">
        <f t="shared" ref="G48" si="25">IF(E48-D48=0,"-",E48-D48)</f>
        <v>-</v>
      </c>
      <c r="H48" s="63">
        <f>228+322.3+740.4</f>
        <v>1290.6999999999998</v>
      </c>
      <c r="I48" s="81">
        <v>1290.7</v>
      </c>
      <c r="J48" s="10">
        <f>I48/H48</f>
        <v>1.0000000000000002</v>
      </c>
      <c r="K48" s="45">
        <f>I48-H48</f>
        <v>0</v>
      </c>
    </row>
    <row r="49" spans="1:11" ht="234" outlineLevel="1">
      <c r="A49" s="139" t="s">
        <v>31</v>
      </c>
      <c r="B49" s="76" t="s">
        <v>121</v>
      </c>
      <c r="C49" s="12"/>
      <c r="D49" s="9"/>
      <c r="E49" s="9"/>
      <c r="F49" s="8"/>
      <c r="G49" s="9"/>
      <c r="H49" s="130">
        <v>941</v>
      </c>
      <c r="I49" s="130">
        <v>941</v>
      </c>
      <c r="J49" s="127">
        <f t="shared" ref="J49" si="26">I49/H49</f>
        <v>1</v>
      </c>
      <c r="K49" s="135">
        <f t="shared" ref="K49" si="27">I49-H49</f>
        <v>0</v>
      </c>
    </row>
    <row r="50" spans="1:11" ht="36" outlineLevel="2">
      <c r="A50" s="141"/>
      <c r="B50" s="47" t="s">
        <v>127</v>
      </c>
      <c r="C50" s="12" t="s">
        <v>20</v>
      </c>
      <c r="D50" s="9">
        <v>8</v>
      </c>
      <c r="E50" s="9">
        <v>8</v>
      </c>
      <c r="F50" s="8">
        <f t="shared" ref="F50:F53" si="28">IF(E50/D50&gt;150%,1.5,E50/D50)</f>
        <v>1</v>
      </c>
      <c r="G50" s="9" t="str">
        <f t="shared" ref="G50:G53" si="29">IF(E50-D50=0,"-",E50-D50)</f>
        <v>-</v>
      </c>
      <c r="H50" s="131"/>
      <c r="I50" s="131"/>
      <c r="J50" s="128"/>
      <c r="K50" s="136"/>
    </row>
    <row r="51" spans="1:11" ht="36" outlineLevel="2">
      <c r="A51" s="140"/>
      <c r="B51" s="47" t="s">
        <v>128</v>
      </c>
      <c r="C51" s="12" t="s">
        <v>20</v>
      </c>
      <c r="D51" s="9">
        <v>3</v>
      </c>
      <c r="E51" s="9">
        <v>3</v>
      </c>
      <c r="F51" s="8">
        <f t="shared" si="28"/>
        <v>1</v>
      </c>
      <c r="G51" s="9" t="str">
        <f t="shared" si="29"/>
        <v>-</v>
      </c>
      <c r="H51" s="132"/>
      <c r="I51" s="132"/>
      <c r="J51" s="129"/>
      <c r="K51" s="137"/>
    </row>
    <row r="52" spans="1:11" ht="108" customHeight="1" outlineLevel="1">
      <c r="A52" s="26" t="s">
        <v>122</v>
      </c>
      <c r="B52" s="23" t="s">
        <v>134</v>
      </c>
      <c r="C52" s="12" t="s">
        <v>20</v>
      </c>
      <c r="D52" s="9">
        <v>17</v>
      </c>
      <c r="E52" s="9">
        <v>19</v>
      </c>
      <c r="F52" s="8">
        <f t="shared" si="28"/>
        <v>1.1176470588235294</v>
      </c>
      <c r="G52" s="9">
        <f t="shared" si="29"/>
        <v>2</v>
      </c>
      <c r="H52" s="63">
        <v>1500</v>
      </c>
      <c r="I52" s="81">
        <v>1411.7</v>
      </c>
      <c r="J52" s="10">
        <f t="shared" ref="J52:J54" si="30">I52/H52</f>
        <v>0.94113333333333338</v>
      </c>
      <c r="K52" s="5">
        <f t="shared" ref="K52:K54" si="31">I52-H52</f>
        <v>-88.299999999999955</v>
      </c>
    </row>
    <row r="53" spans="1:11" ht="114" customHeight="1" outlineLevel="1">
      <c r="A53" s="26" t="s">
        <v>123</v>
      </c>
      <c r="B53" s="23" t="s">
        <v>32</v>
      </c>
      <c r="C53" s="12" t="s">
        <v>20</v>
      </c>
      <c r="D53" s="9">
        <v>2</v>
      </c>
      <c r="E53" s="9">
        <v>2</v>
      </c>
      <c r="F53" s="8">
        <f t="shared" si="28"/>
        <v>1</v>
      </c>
      <c r="G53" s="9" t="str">
        <f t="shared" si="29"/>
        <v>-</v>
      </c>
      <c r="H53" s="68">
        <f>413.5+240+360</f>
        <v>1013.5</v>
      </c>
      <c r="I53" s="80">
        <v>1013.5</v>
      </c>
      <c r="J53" s="10">
        <f t="shared" si="30"/>
        <v>1</v>
      </c>
      <c r="K53" s="5">
        <f t="shared" si="31"/>
        <v>0</v>
      </c>
    </row>
    <row r="54" spans="1:11" ht="120" customHeight="1" outlineLevel="1">
      <c r="A54" s="139" t="s">
        <v>124</v>
      </c>
      <c r="B54" s="76" t="s">
        <v>133</v>
      </c>
      <c r="C54" s="16" t="s">
        <v>6</v>
      </c>
      <c r="D54" s="48" t="s">
        <v>6</v>
      </c>
      <c r="E54" s="48" t="s">
        <v>6</v>
      </c>
      <c r="F54" s="20" t="s">
        <v>6</v>
      </c>
      <c r="G54" s="48" t="s">
        <v>6</v>
      </c>
      <c r="H54" s="130">
        <v>1800</v>
      </c>
      <c r="I54" s="144">
        <f>720+796.2</f>
        <v>1516.2</v>
      </c>
      <c r="J54" s="127">
        <f t="shared" si="30"/>
        <v>0.84233333333333338</v>
      </c>
      <c r="K54" s="130">
        <f t="shared" si="31"/>
        <v>-283.79999999999995</v>
      </c>
    </row>
    <row r="55" spans="1:11" ht="37.5" customHeight="1" outlineLevel="2">
      <c r="A55" s="141"/>
      <c r="B55" s="47" t="s">
        <v>129</v>
      </c>
      <c r="C55" s="12" t="s">
        <v>20</v>
      </c>
      <c r="D55" s="9">
        <v>72</v>
      </c>
      <c r="E55" s="99">
        <v>72</v>
      </c>
      <c r="F55" s="8">
        <f t="shared" ref="F55:F58" si="32">IF(E55/D55&gt;150%,1.5,E55/D55)</f>
        <v>1</v>
      </c>
      <c r="G55" s="9" t="str">
        <f t="shared" ref="G55:G58" si="33">IF(E55-D55=0,"-",E55-D55)</f>
        <v>-</v>
      </c>
      <c r="H55" s="131"/>
      <c r="I55" s="145"/>
      <c r="J55" s="128"/>
      <c r="K55" s="131"/>
    </row>
    <row r="56" spans="1:11" ht="20.25" customHeight="1" outlineLevel="2">
      <c r="A56" s="141"/>
      <c r="B56" s="47" t="s">
        <v>130</v>
      </c>
      <c r="C56" s="12" t="s">
        <v>26</v>
      </c>
      <c r="D56" s="9">
        <v>2300</v>
      </c>
      <c r="E56" s="99">
        <v>2300</v>
      </c>
      <c r="F56" s="8">
        <f t="shared" si="32"/>
        <v>1</v>
      </c>
      <c r="G56" s="9" t="str">
        <f t="shared" si="33"/>
        <v>-</v>
      </c>
      <c r="H56" s="131"/>
      <c r="I56" s="145"/>
      <c r="J56" s="128"/>
      <c r="K56" s="131"/>
    </row>
    <row r="57" spans="1:11" ht="37.5" customHeight="1" outlineLevel="2">
      <c r="A57" s="141"/>
      <c r="B57" s="47" t="s">
        <v>131</v>
      </c>
      <c r="C57" s="12" t="s">
        <v>20</v>
      </c>
      <c r="D57" s="9">
        <v>2</v>
      </c>
      <c r="E57" s="99">
        <v>4</v>
      </c>
      <c r="F57" s="8">
        <f t="shared" si="32"/>
        <v>1.5</v>
      </c>
      <c r="G57" s="9">
        <f t="shared" si="33"/>
        <v>2</v>
      </c>
      <c r="H57" s="131"/>
      <c r="I57" s="145"/>
      <c r="J57" s="128"/>
      <c r="K57" s="131"/>
    </row>
    <row r="58" spans="1:11" ht="37.5" customHeight="1" outlineLevel="2">
      <c r="A58" s="140"/>
      <c r="B58" s="47" t="s">
        <v>132</v>
      </c>
      <c r="C58" s="12" t="s">
        <v>20</v>
      </c>
      <c r="D58" s="9">
        <v>32</v>
      </c>
      <c r="E58" s="99">
        <v>32</v>
      </c>
      <c r="F58" s="8">
        <f t="shared" si="32"/>
        <v>1</v>
      </c>
      <c r="G58" s="9" t="str">
        <f t="shared" si="33"/>
        <v>-</v>
      </c>
      <c r="H58" s="132"/>
      <c r="I58" s="146"/>
      <c r="J58" s="129"/>
      <c r="K58" s="132"/>
    </row>
    <row r="59" spans="1:11" ht="89.25" customHeight="1" outlineLevel="1">
      <c r="A59" s="139" t="s">
        <v>125</v>
      </c>
      <c r="B59" s="23" t="s">
        <v>205</v>
      </c>
      <c r="C59" s="16" t="s">
        <v>6</v>
      </c>
      <c r="D59" s="48" t="s">
        <v>6</v>
      </c>
      <c r="E59" s="48" t="s">
        <v>6</v>
      </c>
      <c r="F59" s="20" t="s">
        <v>6</v>
      </c>
      <c r="G59" s="48" t="s">
        <v>6</v>
      </c>
      <c r="H59" s="130">
        <v>95753.8</v>
      </c>
      <c r="I59" s="130">
        <v>93344.1</v>
      </c>
      <c r="J59" s="127">
        <f>I59/H59</f>
        <v>0.97483441910399382</v>
      </c>
      <c r="K59" s="130">
        <f>I59-H59</f>
        <v>-2409.6999999999971</v>
      </c>
    </row>
    <row r="60" spans="1:11" ht="75" customHeight="1" outlineLevel="2">
      <c r="A60" s="141"/>
      <c r="B60" s="47" t="s">
        <v>135</v>
      </c>
      <c r="C60" s="12" t="s">
        <v>20</v>
      </c>
      <c r="D60" s="9">
        <v>92</v>
      </c>
      <c r="E60" s="9">
        <v>72</v>
      </c>
      <c r="F60" s="8">
        <f t="shared" ref="F60:F61" si="34">IF(E60/D60&gt;150%,1.5,E60/D60)</f>
        <v>0.78260869565217395</v>
      </c>
      <c r="G60" s="9">
        <f t="shared" ref="G60:G61" si="35">IF(E60-D60=0,"-",E60-D60)</f>
        <v>-20</v>
      </c>
      <c r="H60" s="131"/>
      <c r="I60" s="131"/>
      <c r="J60" s="128"/>
      <c r="K60" s="131"/>
    </row>
    <row r="61" spans="1:11" ht="93.75" customHeight="1" outlineLevel="2">
      <c r="A61" s="140"/>
      <c r="B61" s="47" t="s">
        <v>208</v>
      </c>
      <c r="C61" s="12" t="s">
        <v>20</v>
      </c>
      <c r="D61" s="9">
        <v>8</v>
      </c>
      <c r="E61" s="9">
        <v>56</v>
      </c>
      <c r="F61" s="8">
        <f t="shared" si="34"/>
        <v>1.5</v>
      </c>
      <c r="G61" s="9">
        <f t="shared" si="35"/>
        <v>48</v>
      </c>
      <c r="H61" s="132"/>
      <c r="I61" s="132"/>
      <c r="J61" s="129"/>
      <c r="K61" s="132"/>
    </row>
    <row r="62" spans="1:11" ht="21" outlineLevel="1">
      <c r="A62" s="78" t="s">
        <v>126</v>
      </c>
      <c r="B62" s="23" t="s">
        <v>206</v>
      </c>
      <c r="C62" s="12"/>
      <c r="D62" s="9"/>
      <c r="E62" s="9"/>
      <c r="F62" s="8"/>
      <c r="G62" s="9"/>
      <c r="H62" s="84">
        <f>H63+H64</f>
        <v>1010099.3</v>
      </c>
      <c r="I62" s="84">
        <f>I63+I64</f>
        <v>1006911.6</v>
      </c>
      <c r="J62" s="87" t="s">
        <v>6</v>
      </c>
      <c r="K62" s="88" t="s">
        <v>6</v>
      </c>
    </row>
    <row r="63" spans="1:11" ht="75.75" customHeight="1" outlineLevel="1">
      <c r="A63" s="139"/>
      <c r="B63" s="23" t="s">
        <v>211</v>
      </c>
      <c r="C63" s="133" t="s">
        <v>207</v>
      </c>
      <c r="D63" s="134"/>
      <c r="E63" s="9" t="s">
        <v>6</v>
      </c>
      <c r="F63" s="8" t="s">
        <v>6</v>
      </c>
      <c r="G63" s="9" t="s">
        <v>6</v>
      </c>
      <c r="H63" s="63">
        <v>318578.5</v>
      </c>
      <c r="I63" s="81">
        <v>318578.5</v>
      </c>
      <c r="J63" s="10">
        <f>I63/H63</f>
        <v>1</v>
      </c>
      <c r="K63" s="5">
        <f>I63-H63</f>
        <v>0</v>
      </c>
    </row>
    <row r="64" spans="1:11" ht="72" outlineLevel="1">
      <c r="A64" s="140"/>
      <c r="B64" s="23" t="s">
        <v>191</v>
      </c>
      <c r="C64" s="12" t="s">
        <v>187</v>
      </c>
      <c r="D64" s="9">
        <v>1135</v>
      </c>
      <c r="E64" s="9">
        <v>1135</v>
      </c>
      <c r="F64" s="8">
        <f t="shared" ref="F64" si="36">IF(E64/D64&gt;150%,1.5,E64/D64)</f>
        <v>1</v>
      </c>
      <c r="G64" s="9" t="str">
        <f t="shared" ref="G64" si="37">IF(E64-D64=0,"-",E64-D64)</f>
        <v>-</v>
      </c>
      <c r="H64" s="63">
        <f>13512.7+473469.9+204538.2</f>
        <v>691520.8</v>
      </c>
      <c r="I64" s="81">
        <v>688333.1</v>
      </c>
      <c r="J64" s="10">
        <f>I64/H64</f>
        <v>0.99539030496262715</v>
      </c>
      <c r="K64" s="5">
        <f>I64-H64</f>
        <v>-3187.7000000000698</v>
      </c>
    </row>
    <row r="65" spans="1:11" s="92" customFormat="1" ht="42.75" customHeight="1">
      <c r="A65" s="150" t="s">
        <v>136</v>
      </c>
      <c r="B65" s="151"/>
      <c r="C65" s="151"/>
      <c r="D65" s="151"/>
      <c r="E65" s="151"/>
      <c r="F65" s="151"/>
      <c r="G65" s="152"/>
      <c r="H65" s="89">
        <f>H66+H74+H77+H78</f>
        <v>293455.89999999997</v>
      </c>
      <c r="I65" s="89">
        <f>I66+I74+I77+I78</f>
        <v>290459.40000000002</v>
      </c>
      <c r="J65" s="90">
        <f>I65/H65</f>
        <v>0.98978892569547949</v>
      </c>
      <c r="K65" s="91">
        <f>I65-H65</f>
        <v>-2996.4999999999418</v>
      </c>
    </row>
    <row r="66" spans="1:11" ht="38.25" customHeight="1" outlineLevel="1">
      <c r="A66" s="139" t="s">
        <v>33</v>
      </c>
      <c r="B66" s="23" t="s">
        <v>34</v>
      </c>
      <c r="C66" s="12" t="s">
        <v>6</v>
      </c>
      <c r="D66" s="12" t="s">
        <v>6</v>
      </c>
      <c r="E66" s="12" t="s">
        <v>6</v>
      </c>
      <c r="F66" s="8" t="s">
        <v>6</v>
      </c>
      <c r="G66" s="9" t="s">
        <v>6</v>
      </c>
      <c r="H66" s="144">
        <f>33782.2+31512.2</f>
        <v>65294.399999999994</v>
      </c>
      <c r="I66" s="130">
        <f>27136.6+5904.6+31512.2</f>
        <v>64553.399999999994</v>
      </c>
      <c r="J66" s="127">
        <f>I66/H66</f>
        <v>0.98865140042637656</v>
      </c>
      <c r="K66" s="135">
        <f>I66-H66</f>
        <v>-741</v>
      </c>
    </row>
    <row r="67" spans="1:11" ht="46.8" outlineLevel="1">
      <c r="A67" s="141"/>
      <c r="B67" s="30" t="s">
        <v>54</v>
      </c>
      <c r="C67" s="12" t="s">
        <v>26</v>
      </c>
      <c r="D67" s="9">
        <v>5093</v>
      </c>
      <c r="E67" s="9">
        <f>2040+3324</f>
        <v>5364</v>
      </c>
      <c r="F67" s="8">
        <f t="shared" ref="F67:F78" si="38">IF(E67/D67&gt;150%,1.5,E67/D67)</f>
        <v>1.0532102886314549</v>
      </c>
      <c r="G67" s="9">
        <f t="shared" ref="G67:G78" si="39">IF(E67-D67=0,"-",E67-D67)</f>
        <v>271</v>
      </c>
      <c r="H67" s="145"/>
      <c r="I67" s="131"/>
      <c r="J67" s="128"/>
      <c r="K67" s="136"/>
    </row>
    <row r="68" spans="1:11" ht="68.25" customHeight="1" outlineLevel="1">
      <c r="A68" s="141"/>
      <c r="B68" s="30" t="s">
        <v>55</v>
      </c>
      <c r="C68" s="12" t="s">
        <v>35</v>
      </c>
      <c r="D68" s="9">
        <v>8</v>
      </c>
      <c r="E68" s="22">
        <f>1+7</f>
        <v>8</v>
      </c>
      <c r="F68" s="8">
        <f t="shared" si="38"/>
        <v>1</v>
      </c>
      <c r="G68" s="9" t="str">
        <f t="shared" si="39"/>
        <v>-</v>
      </c>
      <c r="H68" s="145"/>
      <c r="I68" s="131"/>
      <c r="J68" s="128"/>
      <c r="K68" s="136"/>
    </row>
    <row r="69" spans="1:11" ht="31.2" outlineLevel="1">
      <c r="A69" s="141"/>
      <c r="B69" s="30" t="s">
        <v>56</v>
      </c>
      <c r="C69" s="12" t="s">
        <v>20</v>
      </c>
      <c r="D69" s="9">
        <v>237</v>
      </c>
      <c r="E69" s="9">
        <f>239</f>
        <v>239</v>
      </c>
      <c r="F69" s="8">
        <f t="shared" si="38"/>
        <v>1.0084388185654007</v>
      </c>
      <c r="G69" s="9">
        <f t="shared" si="39"/>
        <v>2</v>
      </c>
      <c r="H69" s="145"/>
      <c r="I69" s="131"/>
      <c r="J69" s="128"/>
      <c r="K69" s="136"/>
    </row>
    <row r="70" spans="1:11" ht="31.2" outlineLevel="1">
      <c r="A70" s="141"/>
      <c r="B70" s="30" t="s">
        <v>57</v>
      </c>
      <c r="C70" s="12" t="s">
        <v>28</v>
      </c>
      <c r="D70" s="7">
        <v>21.8</v>
      </c>
      <c r="E70" s="7">
        <v>21.8</v>
      </c>
      <c r="F70" s="8">
        <f t="shared" si="38"/>
        <v>1</v>
      </c>
      <c r="G70" s="9" t="str">
        <f t="shared" si="39"/>
        <v>-</v>
      </c>
      <c r="H70" s="145"/>
      <c r="I70" s="131"/>
      <c r="J70" s="128"/>
      <c r="K70" s="136"/>
    </row>
    <row r="71" spans="1:11" ht="68.25" customHeight="1" outlineLevel="1">
      <c r="A71" s="141"/>
      <c r="B71" s="30" t="s">
        <v>58</v>
      </c>
      <c r="C71" s="71" t="s">
        <v>20</v>
      </c>
      <c r="D71" s="72">
        <v>65</v>
      </c>
      <c r="E71" s="72">
        <v>65</v>
      </c>
      <c r="F71" s="8">
        <f t="shared" si="38"/>
        <v>1</v>
      </c>
      <c r="G71" s="9" t="str">
        <f t="shared" si="39"/>
        <v>-</v>
      </c>
      <c r="H71" s="145"/>
      <c r="I71" s="131"/>
      <c r="J71" s="128"/>
      <c r="K71" s="136"/>
    </row>
    <row r="72" spans="1:11" ht="46.8" outlineLevel="1">
      <c r="A72" s="141"/>
      <c r="B72" s="30" t="s">
        <v>60</v>
      </c>
      <c r="C72" s="71" t="s">
        <v>20</v>
      </c>
      <c r="D72" s="72">
        <v>470</v>
      </c>
      <c r="E72" s="72">
        <v>470</v>
      </c>
      <c r="F72" s="8">
        <f t="shared" si="38"/>
        <v>1</v>
      </c>
      <c r="G72" s="9" t="str">
        <f t="shared" si="39"/>
        <v>-</v>
      </c>
      <c r="H72" s="145"/>
      <c r="I72" s="131"/>
      <c r="J72" s="128"/>
      <c r="K72" s="136"/>
    </row>
    <row r="73" spans="1:11" ht="36.75" customHeight="1" outlineLevel="1">
      <c r="A73" s="140"/>
      <c r="B73" s="30" t="s">
        <v>59</v>
      </c>
      <c r="C73" s="71" t="s">
        <v>20</v>
      </c>
      <c r="D73" s="72">
        <v>62</v>
      </c>
      <c r="E73" s="72">
        <v>62</v>
      </c>
      <c r="F73" s="8">
        <f t="shared" si="38"/>
        <v>1</v>
      </c>
      <c r="G73" s="9" t="str">
        <f t="shared" si="39"/>
        <v>-</v>
      </c>
      <c r="H73" s="146"/>
      <c r="I73" s="132"/>
      <c r="J73" s="129"/>
      <c r="K73" s="137"/>
    </row>
    <row r="74" spans="1:11" s="15" customFormat="1" ht="195" customHeight="1" outlineLevel="1" collapsed="1">
      <c r="A74" s="78" t="s">
        <v>36</v>
      </c>
      <c r="B74" s="15" t="s">
        <v>37</v>
      </c>
      <c r="C74" s="12" t="s">
        <v>20</v>
      </c>
      <c r="D74" s="9">
        <v>3</v>
      </c>
      <c r="E74" s="9">
        <v>3</v>
      </c>
      <c r="F74" s="8">
        <f t="shared" si="38"/>
        <v>1</v>
      </c>
      <c r="G74" s="9" t="str">
        <f t="shared" si="39"/>
        <v>-</v>
      </c>
      <c r="H74" s="63">
        <v>2182.6999999999998</v>
      </c>
      <c r="I74" s="81">
        <v>2182.6999999999998</v>
      </c>
      <c r="J74" s="10">
        <f>I74/H74</f>
        <v>1</v>
      </c>
      <c r="K74" s="5">
        <f>I74-H74</f>
        <v>0</v>
      </c>
    </row>
    <row r="75" spans="1:11" s="15" customFormat="1" ht="255.75" hidden="1" customHeight="1" outlineLevel="2">
      <c r="A75" s="78" t="s">
        <v>38</v>
      </c>
      <c r="B75" s="23" t="s">
        <v>141</v>
      </c>
      <c r="C75" s="12" t="s">
        <v>20</v>
      </c>
      <c r="D75" s="9" t="s">
        <v>6</v>
      </c>
      <c r="E75" s="9" t="s">
        <v>6</v>
      </c>
      <c r="F75" s="9" t="s">
        <v>6</v>
      </c>
      <c r="G75" s="9" t="s">
        <v>6</v>
      </c>
      <c r="H75" s="63" t="s">
        <v>6</v>
      </c>
      <c r="I75" s="81"/>
      <c r="J75" s="63" t="s">
        <v>6</v>
      </c>
      <c r="K75" s="63" t="s">
        <v>6</v>
      </c>
    </row>
    <row r="76" spans="1:11" s="15" customFormat="1" ht="117" hidden="1" customHeight="1" outlineLevel="2">
      <c r="A76" s="78" t="s">
        <v>137</v>
      </c>
      <c r="B76" s="23" t="s">
        <v>140</v>
      </c>
      <c r="C76" s="12" t="s">
        <v>20</v>
      </c>
      <c r="D76" s="9" t="s">
        <v>6</v>
      </c>
      <c r="E76" s="9" t="s">
        <v>6</v>
      </c>
      <c r="F76" s="9" t="s">
        <v>6</v>
      </c>
      <c r="G76" s="9" t="s">
        <v>6</v>
      </c>
      <c r="H76" s="9" t="s">
        <v>6</v>
      </c>
      <c r="I76" s="9"/>
      <c r="J76" s="9" t="s">
        <v>6</v>
      </c>
      <c r="K76" s="9" t="s">
        <v>6</v>
      </c>
    </row>
    <row r="77" spans="1:11" s="15" customFormat="1" ht="54" outlineLevel="1">
      <c r="A77" s="26" t="s">
        <v>138</v>
      </c>
      <c r="B77" s="23" t="s">
        <v>192</v>
      </c>
      <c r="C77" s="12" t="s">
        <v>20</v>
      </c>
      <c r="D77" s="9">
        <v>1</v>
      </c>
      <c r="E77" s="9">
        <v>1</v>
      </c>
      <c r="F77" s="8">
        <f t="shared" ref="F77" si="40">IF(E77/D77&gt;150%,1.5,E77/D77)</f>
        <v>1</v>
      </c>
      <c r="G77" s="9" t="str">
        <f t="shared" ref="G77" si="41">IF(E77-D77=0,"-",E77-D77)</f>
        <v>-</v>
      </c>
      <c r="H77" s="63">
        <v>100</v>
      </c>
      <c r="I77" s="81">
        <v>100</v>
      </c>
      <c r="J77" s="10">
        <f>I77/H77</f>
        <v>1</v>
      </c>
      <c r="K77" s="5">
        <f>I77-H77</f>
        <v>0</v>
      </c>
    </row>
    <row r="78" spans="1:11" ht="117" customHeight="1" outlineLevel="1">
      <c r="A78" s="26" t="s">
        <v>139</v>
      </c>
      <c r="B78" s="23" t="s">
        <v>142</v>
      </c>
      <c r="C78" s="12" t="s">
        <v>20</v>
      </c>
      <c r="D78" s="9">
        <v>239</v>
      </c>
      <c r="E78" s="9">
        <v>240</v>
      </c>
      <c r="F78" s="8">
        <f t="shared" si="38"/>
        <v>1.00418410041841</v>
      </c>
      <c r="G78" s="9">
        <f t="shared" si="39"/>
        <v>1</v>
      </c>
      <c r="H78" s="63">
        <f>96497+3660.4+125721.4</f>
        <v>225878.8</v>
      </c>
      <c r="I78" s="81">
        <f>94386.9+3660.4+52455.7+59360.1+13760.2</f>
        <v>223623.30000000002</v>
      </c>
      <c r="J78" s="10">
        <f>I78/H78</f>
        <v>0.99001455647896142</v>
      </c>
      <c r="K78" s="5">
        <f>I78-H78</f>
        <v>-2255.4999999999709</v>
      </c>
    </row>
    <row r="79" spans="1:11" ht="36" outlineLevel="1">
      <c r="A79" s="78" t="s">
        <v>151</v>
      </c>
      <c r="B79" s="23" t="s">
        <v>145</v>
      </c>
      <c r="C79" s="12" t="s">
        <v>26</v>
      </c>
      <c r="D79" s="9">
        <v>817</v>
      </c>
      <c r="E79" s="9">
        <v>817</v>
      </c>
      <c r="F79" s="8">
        <f t="shared" ref="F79:F83" si="42">IF(E79/D79&gt;150%,1.5,E79/D79)</f>
        <v>1</v>
      </c>
      <c r="G79" s="9" t="str">
        <f t="shared" ref="G79:G83" si="43">IF(E79-D79=0,"-",E79-D79)</f>
        <v>-</v>
      </c>
      <c r="H79" s="7" t="s">
        <v>6</v>
      </c>
      <c r="I79" s="7" t="s">
        <v>6</v>
      </c>
      <c r="J79" s="10" t="s">
        <v>6</v>
      </c>
      <c r="K79" s="45" t="s">
        <v>6</v>
      </c>
    </row>
    <row r="80" spans="1:11" ht="54" outlineLevel="1">
      <c r="A80" s="78" t="s">
        <v>152</v>
      </c>
      <c r="B80" s="23" t="s">
        <v>146</v>
      </c>
      <c r="C80" s="12" t="s">
        <v>26</v>
      </c>
      <c r="D80" s="9">
        <v>82</v>
      </c>
      <c r="E80" s="9">
        <v>82</v>
      </c>
      <c r="F80" s="8">
        <f t="shared" si="42"/>
        <v>1</v>
      </c>
      <c r="G80" s="9" t="str">
        <f t="shared" si="43"/>
        <v>-</v>
      </c>
      <c r="H80" s="7" t="s">
        <v>6</v>
      </c>
      <c r="I80" s="7" t="s">
        <v>6</v>
      </c>
      <c r="J80" s="10" t="s">
        <v>6</v>
      </c>
      <c r="K80" s="45" t="s">
        <v>6</v>
      </c>
    </row>
    <row r="81" spans="1:11" ht="78" customHeight="1" outlineLevel="1">
      <c r="A81" s="78" t="s">
        <v>153</v>
      </c>
      <c r="B81" s="23" t="s">
        <v>147</v>
      </c>
      <c r="C81" s="12" t="s">
        <v>26</v>
      </c>
      <c r="D81" s="9">
        <v>160</v>
      </c>
      <c r="E81" s="9">
        <v>174</v>
      </c>
      <c r="F81" s="8">
        <f t="shared" si="42"/>
        <v>1.0874999999999999</v>
      </c>
      <c r="G81" s="9">
        <f t="shared" si="43"/>
        <v>14</v>
      </c>
      <c r="H81" s="7" t="s">
        <v>6</v>
      </c>
      <c r="I81" s="7" t="s">
        <v>6</v>
      </c>
      <c r="J81" s="10" t="s">
        <v>6</v>
      </c>
      <c r="K81" s="45" t="s">
        <v>6</v>
      </c>
    </row>
    <row r="82" spans="1:11" ht="114" customHeight="1" outlineLevel="1">
      <c r="A82" s="78" t="s">
        <v>154</v>
      </c>
      <c r="B82" s="23" t="s">
        <v>148</v>
      </c>
      <c r="C82" s="12" t="s">
        <v>26</v>
      </c>
      <c r="D82" s="9">
        <v>330</v>
      </c>
      <c r="E82" s="99">
        <v>328</v>
      </c>
      <c r="F82" s="8">
        <f t="shared" si="42"/>
        <v>0.9939393939393939</v>
      </c>
      <c r="G82" s="9">
        <f t="shared" si="43"/>
        <v>-2</v>
      </c>
      <c r="H82" s="7" t="s">
        <v>6</v>
      </c>
      <c r="I82" s="7" t="s">
        <v>6</v>
      </c>
      <c r="J82" s="10" t="s">
        <v>6</v>
      </c>
      <c r="K82" s="45" t="s">
        <v>6</v>
      </c>
    </row>
    <row r="83" spans="1:11" ht="135.75" customHeight="1" outlineLevel="1">
      <c r="A83" s="78" t="s">
        <v>193</v>
      </c>
      <c r="B83" s="23" t="s">
        <v>149</v>
      </c>
      <c r="C83" s="12" t="s">
        <v>150</v>
      </c>
      <c r="D83" s="7">
        <v>33.700000000000003</v>
      </c>
      <c r="E83" s="7">
        <v>34.1</v>
      </c>
      <c r="F83" s="8">
        <f t="shared" si="42"/>
        <v>1.0118694362017804</v>
      </c>
      <c r="G83" s="7">
        <f t="shared" si="43"/>
        <v>0.39999999999999858</v>
      </c>
      <c r="H83" s="7" t="s">
        <v>6</v>
      </c>
      <c r="I83" s="7" t="s">
        <v>6</v>
      </c>
      <c r="J83" s="10" t="s">
        <v>6</v>
      </c>
      <c r="K83" s="45" t="s">
        <v>6</v>
      </c>
    </row>
    <row r="84" spans="1:11" s="92" customFormat="1" ht="40.5" customHeight="1">
      <c r="A84" s="150" t="s">
        <v>143</v>
      </c>
      <c r="B84" s="151"/>
      <c r="C84" s="151"/>
      <c r="D84" s="151"/>
      <c r="E84" s="151"/>
      <c r="F84" s="151"/>
      <c r="G84" s="152"/>
      <c r="H84" s="89">
        <f>H85</f>
        <v>37300</v>
      </c>
      <c r="I84" s="89">
        <f>I85</f>
        <v>36697.599999999999</v>
      </c>
      <c r="J84" s="90">
        <f t="shared" ref="J84:J85" si="44">I84/H84</f>
        <v>0.98384986595174262</v>
      </c>
      <c r="K84" s="91">
        <f t="shared" ref="K84:K85" si="45">I84-H84</f>
        <v>-602.40000000000146</v>
      </c>
    </row>
    <row r="85" spans="1:11" ht="123" customHeight="1" outlineLevel="1">
      <c r="A85" s="78" t="s">
        <v>64</v>
      </c>
      <c r="B85" s="49" t="s">
        <v>144</v>
      </c>
      <c r="C85" s="12" t="s">
        <v>20</v>
      </c>
      <c r="D85" s="12">
        <v>1</v>
      </c>
      <c r="E85" s="12">
        <v>1</v>
      </c>
      <c r="F85" s="8">
        <f t="shared" ref="F85" si="46">IF(E85/D85&gt;150%,1.5,E85/D85)</f>
        <v>1</v>
      </c>
      <c r="G85" s="9" t="str">
        <f t="shared" ref="G85" si="47">IF(E85-D85=0,"-",E85-D85)</f>
        <v>-</v>
      </c>
      <c r="H85" s="63">
        <f>30352.5+6947.5</f>
        <v>37300</v>
      </c>
      <c r="I85" s="81">
        <v>36697.599999999999</v>
      </c>
      <c r="J85" s="10">
        <f t="shared" si="44"/>
        <v>0.98384986595174262</v>
      </c>
      <c r="K85" s="5">
        <f t="shared" si="45"/>
        <v>-602.40000000000146</v>
      </c>
    </row>
    <row r="86" spans="1:11" s="92" customFormat="1" ht="20.399999999999999">
      <c r="A86" s="153" t="s">
        <v>61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5"/>
    </row>
    <row r="87" spans="1:11" ht="54">
      <c r="A87" s="78" t="s">
        <v>39</v>
      </c>
      <c r="B87" s="23" t="s">
        <v>76</v>
      </c>
      <c r="C87" s="12" t="s">
        <v>62</v>
      </c>
      <c r="D87" s="12">
        <v>99</v>
      </c>
      <c r="E87" s="12">
        <v>100</v>
      </c>
      <c r="F87" s="8">
        <f t="shared" ref="F87:F101" si="48">IF(E87/D87&gt;150%,1.5,E87/D87)</f>
        <v>1.0101010101010102</v>
      </c>
      <c r="G87" s="9">
        <f t="shared" ref="G87:G101" si="49">IF(E87-D87=0,"-",E87-D87)</f>
        <v>1</v>
      </c>
      <c r="H87" s="31" t="s">
        <v>6</v>
      </c>
      <c r="I87" s="31" t="s">
        <v>6</v>
      </c>
      <c r="J87" s="32" t="s">
        <v>6</v>
      </c>
      <c r="K87" s="33" t="s">
        <v>6</v>
      </c>
    </row>
    <row r="88" spans="1:11" ht="54">
      <c r="A88" s="78" t="s">
        <v>40</v>
      </c>
      <c r="B88" s="23" t="s">
        <v>77</v>
      </c>
      <c r="C88" s="12" t="s">
        <v>62</v>
      </c>
      <c r="D88" s="12">
        <v>100</v>
      </c>
      <c r="E88" s="12">
        <v>100</v>
      </c>
      <c r="F88" s="8">
        <f t="shared" si="48"/>
        <v>1</v>
      </c>
      <c r="G88" s="9" t="str">
        <f t="shared" si="49"/>
        <v>-</v>
      </c>
      <c r="H88" s="31" t="s">
        <v>6</v>
      </c>
      <c r="I88" s="31" t="s">
        <v>6</v>
      </c>
      <c r="J88" s="32" t="s">
        <v>6</v>
      </c>
      <c r="K88" s="33" t="s">
        <v>6</v>
      </c>
    </row>
    <row r="89" spans="1:11" ht="94.5" customHeight="1">
      <c r="A89" s="78" t="s">
        <v>63</v>
      </c>
      <c r="B89" s="23" t="s">
        <v>209</v>
      </c>
      <c r="C89" s="12" t="s">
        <v>62</v>
      </c>
      <c r="D89" s="12">
        <v>1.58</v>
      </c>
      <c r="E89" s="12">
        <v>1.47</v>
      </c>
      <c r="F89" s="8">
        <f t="shared" si="48"/>
        <v>0.930379746835443</v>
      </c>
      <c r="G89" s="21">
        <f t="shared" si="49"/>
        <v>-0.1100000000000001</v>
      </c>
      <c r="H89" s="31" t="s">
        <v>6</v>
      </c>
      <c r="I89" s="31" t="s">
        <v>6</v>
      </c>
      <c r="J89" s="32" t="s">
        <v>6</v>
      </c>
      <c r="K89" s="33" t="s">
        <v>6</v>
      </c>
    </row>
    <row r="90" spans="1:11" ht="36">
      <c r="A90" s="78" t="s">
        <v>64</v>
      </c>
      <c r="B90" s="23" t="s">
        <v>78</v>
      </c>
      <c r="C90" s="12" t="s">
        <v>62</v>
      </c>
      <c r="D90" s="12">
        <v>23.5</v>
      </c>
      <c r="E90" s="12">
        <v>25.3</v>
      </c>
      <c r="F90" s="8">
        <f t="shared" si="48"/>
        <v>1.0765957446808512</v>
      </c>
      <c r="G90" s="7">
        <f t="shared" si="49"/>
        <v>1.8000000000000007</v>
      </c>
      <c r="H90" s="31" t="s">
        <v>6</v>
      </c>
      <c r="I90" s="31" t="s">
        <v>6</v>
      </c>
      <c r="J90" s="32" t="s">
        <v>6</v>
      </c>
      <c r="K90" s="33" t="s">
        <v>6</v>
      </c>
    </row>
    <row r="91" spans="1:11" ht="54">
      <c r="A91" s="78" t="s">
        <v>65</v>
      </c>
      <c r="B91" s="23" t="s">
        <v>79</v>
      </c>
      <c r="C91" s="12" t="s">
        <v>62</v>
      </c>
      <c r="D91" s="12">
        <v>100</v>
      </c>
      <c r="E91" s="12">
        <v>100</v>
      </c>
      <c r="F91" s="8">
        <f t="shared" si="48"/>
        <v>1</v>
      </c>
      <c r="G91" s="9" t="str">
        <f t="shared" si="49"/>
        <v>-</v>
      </c>
      <c r="H91" s="31" t="s">
        <v>6</v>
      </c>
      <c r="I91" s="31" t="s">
        <v>6</v>
      </c>
      <c r="J91" s="32" t="s">
        <v>6</v>
      </c>
      <c r="K91" s="33" t="s">
        <v>6</v>
      </c>
    </row>
    <row r="92" spans="1:11" ht="90">
      <c r="A92" s="78" t="s">
        <v>66</v>
      </c>
      <c r="B92" s="23" t="s">
        <v>80</v>
      </c>
      <c r="C92" s="12" t="s">
        <v>62</v>
      </c>
      <c r="D92" s="12">
        <v>100</v>
      </c>
      <c r="E92" s="12">
        <v>100</v>
      </c>
      <c r="F92" s="8">
        <f t="shared" si="48"/>
        <v>1</v>
      </c>
      <c r="G92" s="9" t="str">
        <f t="shared" si="49"/>
        <v>-</v>
      </c>
      <c r="H92" s="31" t="s">
        <v>6</v>
      </c>
      <c r="I92" s="31" t="s">
        <v>6</v>
      </c>
      <c r="J92" s="32" t="s">
        <v>6</v>
      </c>
      <c r="K92" s="33" t="s">
        <v>6</v>
      </c>
    </row>
    <row r="93" spans="1:11" ht="39" customHeight="1">
      <c r="A93" s="78" t="s">
        <v>67</v>
      </c>
      <c r="B93" s="23" t="s">
        <v>81</v>
      </c>
      <c r="C93" s="12" t="s">
        <v>62</v>
      </c>
      <c r="D93" s="12">
        <v>100</v>
      </c>
      <c r="E93" s="12">
        <v>98.7</v>
      </c>
      <c r="F93" s="8">
        <f t="shared" si="48"/>
        <v>0.98699999999999999</v>
      </c>
      <c r="G93" s="9">
        <f t="shared" si="49"/>
        <v>-1.2999999999999972</v>
      </c>
      <c r="H93" s="31" t="s">
        <v>6</v>
      </c>
      <c r="I93" s="31" t="s">
        <v>6</v>
      </c>
      <c r="J93" s="32" t="s">
        <v>6</v>
      </c>
      <c r="K93" s="33" t="s">
        <v>6</v>
      </c>
    </row>
    <row r="94" spans="1:11" ht="72">
      <c r="A94" s="78" t="s">
        <v>68</v>
      </c>
      <c r="B94" s="23" t="s">
        <v>82</v>
      </c>
      <c r="C94" s="12" t="s">
        <v>62</v>
      </c>
      <c r="D94" s="12">
        <v>84</v>
      </c>
      <c r="E94" s="12">
        <v>84</v>
      </c>
      <c r="F94" s="8">
        <f t="shared" si="48"/>
        <v>1</v>
      </c>
      <c r="G94" s="9" t="str">
        <f t="shared" si="49"/>
        <v>-</v>
      </c>
      <c r="H94" s="31" t="s">
        <v>6</v>
      </c>
      <c r="I94" s="31" t="s">
        <v>6</v>
      </c>
      <c r="J94" s="32" t="s">
        <v>6</v>
      </c>
      <c r="K94" s="33" t="s">
        <v>6</v>
      </c>
    </row>
    <row r="95" spans="1:11" ht="54">
      <c r="A95" s="78" t="s">
        <v>69</v>
      </c>
      <c r="B95" s="23" t="s">
        <v>83</v>
      </c>
      <c r="C95" s="12" t="s">
        <v>62</v>
      </c>
      <c r="D95" s="12">
        <v>90.5</v>
      </c>
      <c r="E95" s="12">
        <v>92.8</v>
      </c>
      <c r="F95" s="8">
        <f t="shared" si="48"/>
        <v>1.025414364640884</v>
      </c>
      <c r="G95" s="7">
        <f t="shared" si="49"/>
        <v>2.2999999999999972</v>
      </c>
      <c r="H95" s="31" t="s">
        <v>6</v>
      </c>
      <c r="I95" s="31" t="s">
        <v>6</v>
      </c>
      <c r="J95" s="32" t="s">
        <v>6</v>
      </c>
      <c r="K95" s="33" t="s">
        <v>6</v>
      </c>
    </row>
    <row r="96" spans="1:11" ht="54">
      <c r="A96" s="78" t="s">
        <v>70</v>
      </c>
      <c r="B96" s="23" t="s">
        <v>84</v>
      </c>
      <c r="C96" s="12" t="s">
        <v>62</v>
      </c>
      <c r="D96" s="12">
        <v>95</v>
      </c>
      <c r="E96" s="12">
        <v>100</v>
      </c>
      <c r="F96" s="8">
        <f t="shared" si="48"/>
        <v>1.0526315789473684</v>
      </c>
      <c r="G96" s="7">
        <f t="shared" si="49"/>
        <v>5</v>
      </c>
      <c r="H96" s="31" t="s">
        <v>6</v>
      </c>
      <c r="I96" s="31" t="s">
        <v>6</v>
      </c>
      <c r="J96" s="32" t="s">
        <v>6</v>
      </c>
      <c r="K96" s="33" t="s">
        <v>6</v>
      </c>
    </row>
    <row r="97" spans="1:11" ht="54">
      <c r="A97" s="78" t="s">
        <v>71</v>
      </c>
      <c r="B97" s="23" t="s">
        <v>85</v>
      </c>
      <c r="C97" s="12" t="s">
        <v>62</v>
      </c>
      <c r="D97" s="12">
        <v>29</v>
      </c>
      <c r="E97" s="12">
        <v>29</v>
      </c>
      <c r="F97" s="8">
        <f t="shared" si="48"/>
        <v>1</v>
      </c>
      <c r="G97" s="7" t="str">
        <f t="shared" si="49"/>
        <v>-</v>
      </c>
      <c r="H97" s="31" t="s">
        <v>6</v>
      </c>
      <c r="I97" s="31" t="s">
        <v>6</v>
      </c>
      <c r="J97" s="32" t="s">
        <v>6</v>
      </c>
      <c r="K97" s="33" t="s">
        <v>6</v>
      </c>
    </row>
    <row r="98" spans="1:11" ht="36">
      <c r="A98" s="78" t="s">
        <v>72</v>
      </c>
      <c r="B98" s="23" t="s">
        <v>86</v>
      </c>
      <c r="C98" s="12" t="s">
        <v>62</v>
      </c>
      <c r="D98" s="12">
        <v>100</v>
      </c>
      <c r="E98" s="12">
        <v>100</v>
      </c>
      <c r="F98" s="8">
        <f t="shared" si="48"/>
        <v>1</v>
      </c>
      <c r="G98" s="9" t="str">
        <f t="shared" si="49"/>
        <v>-</v>
      </c>
      <c r="H98" s="31" t="s">
        <v>6</v>
      </c>
      <c r="I98" s="31" t="s">
        <v>6</v>
      </c>
      <c r="J98" s="32" t="s">
        <v>6</v>
      </c>
      <c r="K98" s="33" t="s">
        <v>6</v>
      </c>
    </row>
    <row r="99" spans="1:11" ht="97.5" customHeight="1">
      <c r="A99" s="78" t="s">
        <v>73</v>
      </c>
      <c r="B99" s="23" t="s">
        <v>87</v>
      </c>
      <c r="C99" s="12" t="s">
        <v>62</v>
      </c>
      <c r="D99" s="12">
        <v>99</v>
      </c>
      <c r="E99" s="12">
        <v>99</v>
      </c>
      <c r="F99" s="8">
        <f t="shared" si="48"/>
        <v>1</v>
      </c>
      <c r="G99" s="9" t="str">
        <f t="shared" si="49"/>
        <v>-</v>
      </c>
      <c r="H99" s="31" t="s">
        <v>6</v>
      </c>
      <c r="I99" s="31" t="s">
        <v>6</v>
      </c>
      <c r="J99" s="32" t="s">
        <v>6</v>
      </c>
      <c r="K99" s="33" t="s">
        <v>6</v>
      </c>
    </row>
    <row r="100" spans="1:11" ht="38.25" customHeight="1">
      <c r="A100" s="78" t="s">
        <v>74</v>
      </c>
      <c r="B100" s="23" t="s">
        <v>75</v>
      </c>
      <c r="C100" s="12" t="s">
        <v>62</v>
      </c>
      <c r="D100" s="12">
        <v>100</v>
      </c>
      <c r="E100" s="12">
        <v>100</v>
      </c>
      <c r="F100" s="8">
        <f t="shared" si="48"/>
        <v>1</v>
      </c>
      <c r="G100" s="9" t="str">
        <f t="shared" si="49"/>
        <v>-</v>
      </c>
      <c r="H100" s="31" t="s">
        <v>6</v>
      </c>
      <c r="I100" s="31" t="s">
        <v>6</v>
      </c>
      <c r="J100" s="32" t="s">
        <v>6</v>
      </c>
      <c r="K100" s="33" t="s">
        <v>6</v>
      </c>
    </row>
    <row r="101" spans="1:11" ht="38.25" customHeight="1">
      <c r="A101" s="78" t="s">
        <v>155</v>
      </c>
      <c r="B101" s="23" t="s">
        <v>156</v>
      </c>
      <c r="C101" s="12" t="s">
        <v>62</v>
      </c>
      <c r="D101" s="12">
        <v>16</v>
      </c>
      <c r="E101" s="12">
        <v>12.8</v>
      </c>
      <c r="F101" s="8">
        <f t="shared" si="48"/>
        <v>0.8</v>
      </c>
      <c r="G101" s="7">
        <f t="shared" si="49"/>
        <v>-3.1999999999999993</v>
      </c>
      <c r="H101" s="31"/>
      <c r="I101" s="31"/>
      <c r="J101" s="32"/>
      <c r="K101" s="33"/>
    </row>
    <row r="102" spans="1:11" s="18" customFormat="1" ht="20.399999999999999">
      <c r="A102" s="4"/>
      <c r="B102" s="74" t="s">
        <v>5</v>
      </c>
      <c r="C102" s="16" t="s">
        <v>6</v>
      </c>
      <c r="D102" s="16" t="s">
        <v>6</v>
      </c>
      <c r="E102" s="16" t="s">
        <v>6</v>
      </c>
      <c r="F102" s="20">
        <f>AVERAGE(F87:F101)</f>
        <v>0.99214149634703719</v>
      </c>
      <c r="G102" s="17" t="s">
        <v>6</v>
      </c>
      <c r="H102" s="6">
        <f>H11+H28+H65+H84</f>
        <v>6614434.1000000006</v>
      </c>
      <c r="I102" s="6">
        <f>I11+I28+I65+I84</f>
        <v>6574772.5</v>
      </c>
      <c r="J102" s="43">
        <f>I102/H102</f>
        <v>0.99400378030828052</v>
      </c>
      <c r="K102" s="6">
        <f>I102-H102</f>
        <v>-39661.600000000559</v>
      </c>
    </row>
    <row r="103" spans="1:11" s="18" customFormat="1" ht="20.399999999999999">
      <c r="A103" s="4"/>
      <c r="B103" s="147" t="s">
        <v>195</v>
      </c>
      <c r="C103" s="147"/>
      <c r="D103" s="147"/>
      <c r="E103" s="147"/>
      <c r="F103" s="147"/>
      <c r="G103" s="147"/>
      <c r="H103" s="6">
        <v>6608654.9000000004</v>
      </c>
      <c r="I103" s="6">
        <f>I102</f>
        <v>6574772.5</v>
      </c>
      <c r="J103" s="43">
        <f>I103/H103</f>
        <v>0.99487302627952323</v>
      </c>
      <c r="K103" s="6">
        <f>I103-H103</f>
        <v>-33882.400000000373</v>
      </c>
    </row>
    <row r="104" spans="1:11" s="18" customFormat="1" ht="25.5" customHeight="1">
      <c r="A104" s="4"/>
      <c r="B104" s="148" t="s">
        <v>22</v>
      </c>
      <c r="C104" s="148"/>
      <c r="D104" s="148"/>
      <c r="E104" s="19">
        <f>F102/J103</f>
        <v>0.99725439341470434</v>
      </c>
      <c r="F104" s="149" t="str">
        <f>IF(E104&gt;=80%,"Программа реализуется эффективно","Программа реализуется неэффективно")</f>
        <v>Программа реализуется эффективно</v>
      </c>
      <c r="G104" s="149"/>
      <c r="H104" s="149"/>
      <c r="I104" s="149"/>
      <c r="J104" s="149"/>
      <c r="K104" s="149"/>
    </row>
  </sheetData>
  <sheetProtection formatCells="0" formatColumns="0" formatRows="0" insertColumns="0" insertRows="0" deleteRows="0" selectLockedCells="1" sort="0" autoFilter="0" pivotTables="0" selectUnlockedCells="1"/>
  <mergeCells count="71">
    <mergeCell ref="A59:A61"/>
    <mergeCell ref="H59:H61"/>
    <mergeCell ref="I59:I61"/>
    <mergeCell ref="K59:K61"/>
    <mergeCell ref="J59:J61"/>
    <mergeCell ref="A7:K7"/>
    <mergeCell ref="A29:A32"/>
    <mergeCell ref="A11:G11"/>
    <mergeCell ref="A28:G28"/>
    <mergeCell ref="I29:I32"/>
    <mergeCell ref="H29:H32"/>
    <mergeCell ref="K29:K32"/>
    <mergeCell ref="J29:J32"/>
    <mergeCell ref="A18:A19"/>
    <mergeCell ref="H18:H19"/>
    <mergeCell ref="I18:I19"/>
    <mergeCell ref="K20:K22"/>
    <mergeCell ref="A24:A26"/>
    <mergeCell ref="A20:A22"/>
    <mergeCell ref="J18:J19"/>
    <mergeCell ref="K18:K19"/>
    <mergeCell ref="A1:K1"/>
    <mergeCell ref="A2:K2"/>
    <mergeCell ref="A3:C3"/>
    <mergeCell ref="A4:B4"/>
    <mergeCell ref="A5:K5"/>
    <mergeCell ref="K12:K16"/>
    <mergeCell ref="B103:G103"/>
    <mergeCell ref="B104:D104"/>
    <mergeCell ref="F104:K104"/>
    <mergeCell ref="A65:G65"/>
    <mergeCell ref="K66:K73"/>
    <mergeCell ref="I66:I73"/>
    <mergeCell ref="H66:H73"/>
    <mergeCell ref="J66:J73"/>
    <mergeCell ref="A66:A73"/>
    <mergeCell ref="A86:K86"/>
    <mergeCell ref="A84:G84"/>
    <mergeCell ref="C18:C19"/>
    <mergeCell ref="D18:D19"/>
    <mergeCell ref="E18:E19"/>
    <mergeCell ref="F18:F19"/>
    <mergeCell ref="A63:A64"/>
    <mergeCell ref="A12:A16"/>
    <mergeCell ref="H12:H16"/>
    <mergeCell ref="I12:I16"/>
    <mergeCell ref="J12:J16"/>
    <mergeCell ref="G18:G19"/>
    <mergeCell ref="A49:A51"/>
    <mergeCell ref="A43:A47"/>
    <mergeCell ref="H20:H22"/>
    <mergeCell ref="I20:I22"/>
    <mergeCell ref="J20:J22"/>
    <mergeCell ref="J45:J47"/>
    <mergeCell ref="A54:A58"/>
    <mergeCell ref="H54:H58"/>
    <mergeCell ref="I54:I58"/>
    <mergeCell ref="J54:J58"/>
    <mergeCell ref="K24:K26"/>
    <mergeCell ref="J24:J26"/>
    <mergeCell ref="I24:I26"/>
    <mergeCell ref="H24:H26"/>
    <mergeCell ref="C63:D63"/>
    <mergeCell ref="K45:K47"/>
    <mergeCell ref="H49:H51"/>
    <mergeCell ref="I49:I51"/>
    <mergeCell ref="J49:J51"/>
    <mergeCell ref="K49:K51"/>
    <mergeCell ref="H45:H47"/>
    <mergeCell ref="I45:I47"/>
    <mergeCell ref="K54:K5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58" orientation="landscape" r:id="rId1"/>
  <rowBreaks count="2" manualBreakCount="2">
    <brk id="43" max="10" man="1"/>
    <brk id="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87"/>
  <sheetViews>
    <sheetView tabSelected="1" view="pageBreakPreview" topLeftCell="A55" zoomScale="70" zoomScaleNormal="85" zoomScaleSheetLayoutView="70" workbookViewId="0">
      <selection activeCell="I63" sqref="I63:I67"/>
    </sheetView>
  </sheetViews>
  <sheetFormatPr defaultColWidth="9.109375" defaultRowHeight="18" outlineLevelRow="1"/>
  <cols>
    <col min="1" max="1" width="6.109375" style="34" customWidth="1"/>
    <col min="2" max="2" width="44.5546875" style="34" customWidth="1"/>
    <col min="3" max="3" width="21.88671875" style="34" customWidth="1"/>
    <col min="4" max="4" width="25.109375" style="41" customWidth="1"/>
    <col min="5" max="8" width="19.44140625" style="42" customWidth="1"/>
    <col min="9" max="9" width="18.6640625" style="42" customWidth="1"/>
    <col min="10" max="10" width="28.109375" style="34" customWidth="1"/>
    <col min="11" max="11" width="19" style="34" customWidth="1"/>
    <col min="12" max="16384" width="9.109375" style="34"/>
  </cols>
  <sheetData>
    <row r="1" spans="1:9" ht="16.5" customHeight="1">
      <c r="A1" s="170" t="s">
        <v>16</v>
      </c>
      <c r="B1" s="170"/>
      <c r="C1" s="170"/>
      <c r="D1" s="170"/>
      <c r="E1" s="170"/>
      <c r="F1" s="170"/>
      <c r="G1" s="170"/>
      <c r="H1" s="170"/>
      <c r="I1" s="170"/>
    </row>
    <row r="3" spans="1:9" s="35" customFormat="1" ht="51.75" customHeight="1">
      <c r="A3" s="171" t="s">
        <v>2</v>
      </c>
      <c r="B3" s="172" t="s">
        <v>7</v>
      </c>
      <c r="C3" s="171" t="s">
        <v>14</v>
      </c>
      <c r="D3" s="171" t="s">
        <v>15</v>
      </c>
      <c r="E3" s="173" t="s">
        <v>21</v>
      </c>
      <c r="F3" s="173"/>
      <c r="G3" s="173"/>
      <c r="H3" s="173"/>
      <c r="I3" s="173"/>
    </row>
    <row r="4" spans="1:9" s="35" customFormat="1" ht="34.5" customHeight="1">
      <c r="A4" s="171"/>
      <c r="B4" s="172"/>
      <c r="C4" s="171"/>
      <c r="D4" s="171"/>
      <c r="E4" s="86" t="s">
        <v>17</v>
      </c>
      <c r="F4" s="54" t="s">
        <v>18</v>
      </c>
      <c r="G4" s="62" t="s">
        <v>186</v>
      </c>
      <c r="H4" s="85" t="s">
        <v>210</v>
      </c>
      <c r="I4" s="54" t="s">
        <v>188</v>
      </c>
    </row>
    <row r="5" spans="1:9" ht="37.5" customHeight="1">
      <c r="A5" s="186" t="s">
        <v>97</v>
      </c>
      <c r="B5" s="187"/>
      <c r="C5" s="187"/>
      <c r="D5" s="188"/>
      <c r="E5" s="50">
        <f>F5+G5+I5</f>
        <v>6156181.8999999994</v>
      </c>
      <c r="F5" s="50">
        <f>F6+F9+F10+F11+F12+F13+F16</f>
        <v>1795771.5</v>
      </c>
      <c r="G5" s="50">
        <f>G6+G9+G10+G11+G12+G13+G16</f>
        <v>2085723.4</v>
      </c>
      <c r="H5" s="50">
        <f>H6+H9+H10+H11+H12+H13+H16</f>
        <v>2282865.7000000002</v>
      </c>
      <c r="I5" s="50">
        <f>'Отчет_лист 1'!I11</f>
        <v>2274686.9999999995</v>
      </c>
    </row>
    <row r="6" spans="1:9" outlineLevel="1">
      <c r="A6" s="175" t="s">
        <v>39</v>
      </c>
      <c r="B6" s="176" t="s">
        <v>46</v>
      </c>
      <c r="C6" s="175" t="s">
        <v>45</v>
      </c>
      <c r="D6" s="37" t="s">
        <v>90</v>
      </c>
      <c r="E6" s="38">
        <f t="shared" ref="E6:E77" si="0">F6+G6+I6</f>
        <v>6011103.5999999996</v>
      </c>
      <c r="F6" s="38">
        <f>F7+F8</f>
        <v>1780240.6</v>
      </c>
      <c r="G6" s="38">
        <f t="shared" ref="G6" si="1">G7+G8</f>
        <v>2012514.7</v>
      </c>
      <c r="H6" s="38">
        <f>'Отчет_лист 1'!H12</f>
        <v>2219786.6</v>
      </c>
      <c r="I6" s="121">
        <f>'Отчет_лист 1'!I12</f>
        <v>2218348.2999999998</v>
      </c>
    </row>
    <row r="7" spans="1:9" outlineLevel="1">
      <c r="A7" s="175"/>
      <c r="B7" s="176"/>
      <c r="C7" s="175"/>
      <c r="D7" s="58" t="s">
        <v>88</v>
      </c>
      <c r="E7" s="38">
        <f t="shared" si="0"/>
        <v>3284099.7</v>
      </c>
      <c r="F7" s="38">
        <v>1039360.3</v>
      </c>
      <c r="G7" s="38">
        <v>1205675.7</v>
      </c>
      <c r="H7" s="38">
        <v>1039176.4</v>
      </c>
      <c r="I7" s="121">
        <v>1039063.7</v>
      </c>
    </row>
    <row r="8" spans="1:9" outlineLevel="1">
      <c r="A8" s="175"/>
      <c r="B8" s="176"/>
      <c r="C8" s="175"/>
      <c r="D8" s="58" t="s">
        <v>89</v>
      </c>
      <c r="E8" s="38">
        <f t="shared" si="0"/>
        <v>2727003.9000000004</v>
      </c>
      <c r="F8" s="38">
        <v>740880.3</v>
      </c>
      <c r="G8" s="38">
        <v>806839</v>
      </c>
      <c r="H8" s="38">
        <v>1180610.2</v>
      </c>
      <c r="I8" s="121">
        <v>1179284.6000000001</v>
      </c>
    </row>
    <row r="9" spans="1:9" ht="36" outlineLevel="1">
      <c r="A9" s="55" t="s">
        <v>40</v>
      </c>
      <c r="B9" s="56" t="s">
        <v>158</v>
      </c>
      <c r="C9" s="55" t="s">
        <v>45</v>
      </c>
      <c r="D9" s="58" t="s">
        <v>88</v>
      </c>
      <c r="E9" s="38">
        <f t="shared" si="0"/>
        <v>53705.8</v>
      </c>
      <c r="F9" s="38">
        <v>15530.9</v>
      </c>
      <c r="G9" s="38">
        <v>31215</v>
      </c>
      <c r="H9" s="38">
        <f>'Отчет_лист 1'!H17</f>
        <v>8108.7</v>
      </c>
      <c r="I9" s="121">
        <f>'Отчет_лист 1'!I17</f>
        <v>6959.9</v>
      </c>
    </row>
    <row r="10" spans="1:9" ht="36" outlineLevel="1">
      <c r="A10" s="55" t="s">
        <v>63</v>
      </c>
      <c r="B10" s="56" t="s">
        <v>99</v>
      </c>
      <c r="C10" s="55" t="s">
        <v>45</v>
      </c>
      <c r="D10" s="58" t="s">
        <v>88</v>
      </c>
      <c r="E10" s="38">
        <f t="shared" si="0"/>
        <v>750</v>
      </c>
      <c r="F10" s="38">
        <v>0</v>
      </c>
      <c r="G10" s="38">
        <v>750</v>
      </c>
      <c r="H10" s="38">
        <f>'Отчет_лист 1'!H18</f>
        <v>1546.9</v>
      </c>
      <c r="I10" s="121">
        <f>'Отчет_лист 1'!I18</f>
        <v>0</v>
      </c>
    </row>
    <row r="11" spans="1:9" ht="36" outlineLevel="1">
      <c r="A11" s="55" t="s">
        <v>64</v>
      </c>
      <c r="B11" s="56" t="s">
        <v>157</v>
      </c>
      <c r="C11" s="55" t="s">
        <v>159</v>
      </c>
      <c r="D11" s="58" t="s">
        <v>88</v>
      </c>
      <c r="E11" s="38">
        <f t="shared" si="0"/>
        <v>6931.2</v>
      </c>
      <c r="F11" s="38">
        <v>0</v>
      </c>
      <c r="G11" s="38">
        <v>6931.2</v>
      </c>
      <c r="H11" s="38"/>
      <c r="I11" s="121"/>
    </row>
    <row r="12" spans="1:9" ht="36" outlineLevel="1">
      <c r="A12" s="55" t="s">
        <v>65</v>
      </c>
      <c r="B12" s="56" t="s">
        <v>160</v>
      </c>
      <c r="C12" s="55" t="s">
        <v>159</v>
      </c>
      <c r="D12" s="58" t="s">
        <v>88</v>
      </c>
      <c r="E12" s="38">
        <f t="shared" si="0"/>
        <v>3120.9</v>
      </c>
      <c r="F12" s="38">
        <v>0</v>
      </c>
      <c r="G12" s="38">
        <v>1620.9</v>
      </c>
      <c r="H12" s="38">
        <f>'Отчет_лист 1'!H23</f>
        <v>1500</v>
      </c>
      <c r="I12" s="121">
        <f>'Отчет_лист 1'!I23</f>
        <v>1500</v>
      </c>
    </row>
    <row r="13" spans="1:9" outlineLevel="1">
      <c r="A13" s="175" t="s">
        <v>66</v>
      </c>
      <c r="B13" s="176" t="s">
        <v>161</v>
      </c>
      <c r="C13" s="175" t="s">
        <v>159</v>
      </c>
      <c r="D13" s="37" t="s">
        <v>90</v>
      </c>
      <c r="E13" s="38">
        <f t="shared" si="0"/>
        <v>69755.3</v>
      </c>
      <c r="F13" s="38">
        <f>SUM(F14:F15)</f>
        <v>0</v>
      </c>
      <c r="G13" s="38">
        <f t="shared" ref="G13" si="2">SUM(G14:G15)</f>
        <v>21876.5</v>
      </c>
      <c r="H13" s="38">
        <f>'Отчет_лист 1'!H24</f>
        <v>51923.5</v>
      </c>
      <c r="I13" s="121">
        <f>'Отчет_лист 1'!I24</f>
        <v>47878.8</v>
      </c>
    </row>
    <row r="14" spans="1:9" outlineLevel="1">
      <c r="A14" s="175"/>
      <c r="B14" s="176"/>
      <c r="C14" s="175"/>
      <c r="D14" s="58" t="s">
        <v>88</v>
      </c>
      <c r="E14" s="38">
        <f t="shared" si="0"/>
        <v>48116.2</v>
      </c>
      <c r="F14" s="38">
        <v>0</v>
      </c>
      <c r="G14" s="38">
        <v>13831.7</v>
      </c>
      <c r="H14" s="38">
        <v>38329.199999999997</v>
      </c>
      <c r="I14" s="121">
        <v>34284.5</v>
      </c>
    </row>
    <row r="15" spans="1:9" outlineLevel="1">
      <c r="A15" s="175"/>
      <c r="B15" s="176"/>
      <c r="C15" s="175"/>
      <c r="D15" s="58" t="s">
        <v>89</v>
      </c>
      <c r="E15" s="38">
        <f t="shared" si="0"/>
        <v>21639.1</v>
      </c>
      <c r="F15" s="38">
        <v>0</v>
      </c>
      <c r="G15" s="38">
        <v>8044.8</v>
      </c>
      <c r="H15" s="38">
        <v>13594.3</v>
      </c>
      <c r="I15" s="121">
        <v>13594.3</v>
      </c>
    </row>
    <row r="16" spans="1:9" outlineLevel="1">
      <c r="A16" s="175" t="s">
        <v>67</v>
      </c>
      <c r="B16" s="176" t="s">
        <v>162</v>
      </c>
      <c r="C16" s="175" t="s">
        <v>159</v>
      </c>
      <c r="D16" s="37" t="s">
        <v>90</v>
      </c>
      <c r="E16" s="38">
        <f t="shared" si="0"/>
        <v>10815.1</v>
      </c>
      <c r="F16" s="38">
        <f>SUM(F17:F18)</f>
        <v>0</v>
      </c>
      <c r="G16" s="38">
        <f t="shared" ref="G16" si="3">SUM(G17:G18)</f>
        <v>10815.1</v>
      </c>
      <c r="H16" s="38"/>
      <c r="I16" s="121"/>
    </row>
    <row r="17" spans="1:9" outlineLevel="1">
      <c r="A17" s="175"/>
      <c r="B17" s="176"/>
      <c r="C17" s="175"/>
      <c r="D17" s="58" t="s">
        <v>88</v>
      </c>
      <c r="E17" s="38">
        <f t="shared" si="0"/>
        <v>2792.5</v>
      </c>
      <c r="F17" s="38">
        <v>0</v>
      </c>
      <c r="G17" s="38">
        <v>2792.5</v>
      </c>
      <c r="H17" s="38"/>
      <c r="I17" s="121"/>
    </row>
    <row r="18" spans="1:9" outlineLevel="1">
      <c r="A18" s="175"/>
      <c r="B18" s="176"/>
      <c r="C18" s="175"/>
      <c r="D18" s="58" t="s">
        <v>89</v>
      </c>
      <c r="E18" s="38">
        <f t="shared" si="0"/>
        <v>8022.6</v>
      </c>
      <c r="F18" s="38">
        <v>0</v>
      </c>
      <c r="G18" s="38">
        <v>8022.6</v>
      </c>
      <c r="H18" s="38"/>
      <c r="I18" s="121"/>
    </row>
    <row r="19" spans="1:9" ht="19.5" customHeight="1">
      <c r="A19" s="174" t="s">
        <v>91</v>
      </c>
      <c r="B19" s="174"/>
      <c r="C19" s="175" t="s">
        <v>45</v>
      </c>
      <c r="D19" s="37" t="s">
        <v>90</v>
      </c>
      <c r="E19" s="82">
        <f t="shared" si="0"/>
        <v>6156181.8999999994</v>
      </c>
      <c r="F19" s="82">
        <f>F6+F9+F10+F11+F12+F13+F16</f>
        <v>1795771.5</v>
      </c>
      <c r="G19" s="82">
        <f t="shared" ref="G19:I19" si="4">G6+G9+G10+G11+G12+G13+G16</f>
        <v>2085723.4</v>
      </c>
      <c r="H19" s="82">
        <f t="shared" si="4"/>
        <v>2282865.7000000002</v>
      </c>
      <c r="I19" s="122">
        <f t="shared" si="4"/>
        <v>2274686.9999999995</v>
      </c>
    </row>
    <row r="20" spans="1:9" ht="19.5" customHeight="1">
      <c r="A20" s="174"/>
      <c r="B20" s="174"/>
      <c r="C20" s="175"/>
      <c r="D20" s="58" t="s">
        <v>88</v>
      </c>
      <c r="E20" s="82">
        <f t="shared" si="0"/>
        <v>3399516.3</v>
      </c>
      <c r="F20" s="82">
        <f>F7+F9+F10+F11+F12+F14+F17</f>
        <v>1054891.2</v>
      </c>
      <c r="G20" s="82">
        <f t="shared" ref="G20:I20" si="5">G7+G9+G10+G11+G12+G14+G17</f>
        <v>1262816.9999999998</v>
      </c>
      <c r="H20" s="82">
        <f t="shared" si="5"/>
        <v>1088661.2</v>
      </c>
      <c r="I20" s="122">
        <f t="shared" si="5"/>
        <v>1081808.1000000001</v>
      </c>
    </row>
    <row r="21" spans="1:9" ht="19.5" customHeight="1">
      <c r="A21" s="174"/>
      <c r="B21" s="174"/>
      <c r="C21" s="175"/>
      <c r="D21" s="58" t="s">
        <v>89</v>
      </c>
      <c r="E21" s="82">
        <f t="shared" si="0"/>
        <v>2756665.6000000006</v>
      </c>
      <c r="F21" s="82">
        <f>F8+F15+F18</f>
        <v>740880.3</v>
      </c>
      <c r="G21" s="82">
        <f t="shared" ref="G21:I21" si="6">G8+G15+G18</f>
        <v>822906.4</v>
      </c>
      <c r="H21" s="82">
        <f t="shared" si="6"/>
        <v>1194204.5</v>
      </c>
      <c r="I21" s="122">
        <f t="shared" si="6"/>
        <v>1192878.9000000001</v>
      </c>
    </row>
    <row r="22" spans="1:9" ht="38.25" customHeight="1">
      <c r="A22" s="186" t="s">
        <v>107</v>
      </c>
      <c r="B22" s="187"/>
      <c r="C22" s="187"/>
      <c r="D22" s="188"/>
      <c r="E22" s="38">
        <f t="shared" si="0"/>
        <v>9945965.6000000015</v>
      </c>
      <c r="F22" s="82">
        <f>F23+F27+F33</f>
        <v>2573216.7000000002</v>
      </c>
      <c r="G22" s="82">
        <v>3399820.4000000004</v>
      </c>
      <c r="H22" s="82">
        <f>'Отчет_лист 1'!H28</f>
        <v>4000812.5</v>
      </c>
      <c r="I22" s="122">
        <f>'Отчет_лист 1'!I28</f>
        <v>3972928.5000000005</v>
      </c>
    </row>
    <row r="23" spans="1:9" ht="18.75" customHeight="1" outlineLevel="1">
      <c r="A23" s="180" t="s">
        <v>68</v>
      </c>
      <c r="B23" s="183" t="s">
        <v>47</v>
      </c>
      <c r="C23" s="139" t="s">
        <v>166</v>
      </c>
      <c r="D23" s="37" t="s">
        <v>90</v>
      </c>
      <c r="E23" s="38">
        <f t="shared" si="0"/>
        <v>8040853.2000000002</v>
      </c>
      <c r="F23" s="38">
        <f>F24+F25+F26</f>
        <v>2539145.2000000002</v>
      </c>
      <c r="G23" s="38">
        <f>G24+G25+G26</f>
        <v>2670575.5</v>
      </c>
      <c r="H23" s="38">
        <f>'Отчет_лист 1'!H29</f>
        <v>2847890.5</v>
      </c>
      <c r="I23" s="121">
        <f>'Отчет_лист 1'!I29</f>
        <v>2831132.5</v>
      </c>
    </row>
    <row r="24" spans="1:9" outlineLevel="1">
      <c r="A24" s="181"/>
      <c r="B24" s="184"/>
      <c r="C24" s="181"/>
      <c r="D24" s="58" t="s">
        <v>88</v>
      </c>
      <c r="E24" s="38">
        <f t="shared" si="0"/>
        <v>2760042.4</v>
      </c>
      <c r="F24" s="38">
        <v>783225</v>
      </c>
      <c r="G24" s="38">
        <v>866932</v>
      </c>
      <c r="H24" s="38">
        <v>1122021.6000000001</v>
      </c>
      <c r="I24" s="121">
        <v>1109885.3999999999</v>
      </c>
    </row>
    <row r="25" spans="1:9" outlineLevel="1">
      <c r="A25" s="181"/>
      <c r="B25" s="184"/>
      <c r="C25" s="181"/>
      <c r="D25" s="58" t="s">
        <v>89</v>
      </c>
      <c r="E25" s="38">
        <f t="shared" si="0"/>
        <v>5280810.8000000007</v>
      </c>
      <c r="F25" s="38">
        <v>1755920.2</v>
      </c>
      <c r="G25" s="38">
        <v>1803643.5</v>
      </c>
      <c r="H25" s="38">
        <v>1725868.9</v>
      </c>
      <c r="I25" s="121">
        <v>1721247.1</v>
      </c>
    </row>
    <row r="26" spans="1:9" outlineLevel="1">
      <c r="A26" s="182"/>
      <c r="B26" s="185"/>
      <c r="C26" s="182"/>
      <c r="D26" s="58" t="s">
        <v>94</v>
      </c>
      <c r="E26" s="38">
        <f t="shared" si="0"/>
        <v>0</v>
      </c>
      <c r="F26" s="38"/>
      <c r="G26" s="38"/>
      <c r="H26" s="38"/>
      <c r="I26" s="121"/>
    </row>
    <row r="27" spans="1:9" ht="18.75" customHeight="1" outlineLevel="1">
      <c r="A27" s="180" t="s">
        <v>69</v>
      </c>
      <c r="B27" s="183" t="s">
        <v>163</v>
      </c>
      <c r="C27" s="139" t="s">
        <v>166</v>
      </c>
      <c r="D27" s="37" t="s">
        <v>90</v>
      </c>
      <c r="E27" s="38">
        <f t="shared" si="0"/>
        <v>159695.5</v>
      </c>
      <c r="F27" s="38">
        <f>F28+F29+F30</f>
        <v>32402.9</v>
      </c>
      <c r="G27" s="38">
        <f>G28+G29+G30</f>
        <v>90634.7</v>
      </c>
      <c r="H27" s="38">
        <f>'Отчет_лист 1'!H43</f>
        <v>41814.400000000001</v>
      </c>
      <c r="I27" s="121">
        <f>'Отчет_лист 1'!I43</f>
        <v>36657.9</v>
      </c>
    </row>
    <row r="28" spans="1:9" outlineLevel="1">
      <c r="A28" s="181"/>
      <c r="B28" s="184"/>
      <c r="C28" s="141"/>
      <c r="D28" s="58" t="s">
        <v>88</v>
      </c>
      <c r="E28" s="38">
        <f t="shared" si="0"/>
        <v>89224.2</v>
      </c>
      <c r="F28" s="38">
        <v>25224.2</v>
      </c>
      <c r="G28" s="38">
        <v>44162.3</v>
      </c>
      <c r="H28" s="38">
        <v>24994.2</v>
      </c>
      <c r="I28" s="121">
        <v>19837.7</v>
      </c>
    </row>
    <row r="29" spans="1:9" outlineLevel="1">
      <c r="A29" s="181"/>
      <c r="B29" s="184"/>
      <c r="C29" s="141"/>
      <c r="D29" s="58" t="s">
        <v>89</v>
      </c>
      <c r="E29" s="38">
        <f t="shared" si="0"/>
        <v>69773.799999999988</v>
      </c>
      <c r="F29" s="38">
        <v>7178.7</v>
      </c>
      <c r="G29" s="38">
        <v>46097.2</v>
      </c>
      <c r="H29" s="38">
        <v>16497.900000000001</v>
      </c>
      <c r="I29" s="121">
        <v>16497.900000000001</v>
      </c>
    </row>
    <row r="30" spans="1:9" outlineLevel="1">
      <c r="A30" s="182"/>
      <c r="B30" s="185"/>
      <c r="C30" s="140"/>
      <c r="D30" s="58" t="s">
        <v>94</v>
      </c>
      <c r="E30" s="38">
        <f t="shared" si="0"/>
        <v>697.5</v>
      </c>
      <c r="F30" s="38"/>
      <c r="G30" s="38">
        <v>375.2</v>
      </c>
      <c r="H30" s="38">
        <v>322.3</v>
      </c>
      <c r="I30" s="121">
        <v>322.3</v>
      </c>
    </row>
    <row r="31" spans="1:9" ht="36" outlineLevel="1">
      <c r="A31" s="55" t="s">
        <v>70</v>
      </c>
      <c r="B31" s="56" t="s">
        <v>164</v>
      </c>
      <c r="C31" s="57" t="s">
        <v>166</v>
      </c>
      <c r="D31" s="58" t="s">
        <v>88</v>
      </c>
      <c r="E31" s="38">
        <f t="shared" si="0"/>
        <v>3551.8</v>
      </c>
      <c r="F31" s="38">
        <v>0</v>
      </c>
      <c r="G31" s="38">
        <v>2610.8000000000002</v>
      </c>
      <c r="H31" s="38">
        <f>'Отчет_лист 1'!H49</f>
        <v>941</v>
      </c>
      <c r="I31" s="38">
        <f>'Отчет_лист 1'!I49</f>
        <v>941</v>
      </c>
    </row>
    <row r="32" spans="1:9" ht="36" outlineLevel="1">
      <c r="A32" s="55" t="s">
        <v>71</v>
      </c>
      <c r="B32" s="56" t="s">
        <v>167</v>
      </c>
      <c r="C32" s="57" t="s">
        <v>166</v>
      </c>
      <c r="D32" s="58" t="s">
        <v>88</v>
      </c>
      <c r="E32" s="38">
        <f t="shared" si="0"/>
        <v>2967.1000000000004</v>
      </c>
      <c r="F32" s="38">
        <v>0</v>
      </c>
      <c r="G32" s="38">
        <v>1555.4</v>
      </c>
      <c r="H32" s="38">
        <f>'Отчет_лист 1'!H52</f>
        <v>1500</v>
      </c>
      <c r="I32" s="121">
        <f>'Отчет_лист 1'!I52</f>
        <v>1411.7</v>
      </c>
    </row>
    <row r="33" spans="1:9" ht="18.75" customHeight="1" outlineLevel="1">
      <c r="A33" s="180" t="s">
        <v>72</v>
      </c>
      <c r="B33" s="183" t="s">
        <v>48</v>
      </c>
      <c r="C33" s="175" t="s">
        <v>165</v>
      </c>
      <c r="D33" s="37" t="s">
        <v>90</v>
      </c>
      <c r="E33" s="38">
        <f t="shared" si="0"/>
        <v>8648</v>
      </c>
      <c r="F33" s="38">
        <f>SUM(F34:F36)</f>
        <v>1668.6</v>
      </c>
      <c r="G33" s="38">
        <f>SUM(G34:G36)</f>
        <v>5965.9</v>
      </c>
      <c r="H33" s="38">
        <f>'Отчет_лист 1'!H53</f>
        <v>1013.5</v>
      </c>
      <c r="I33" s="121">
        <f>'Отчет_лист 1'!I53</f>
        <v>1013.5</v>
      </c>
    </row>
    <row r="34" spans="1:9" outlineLevel="1">
      <c r="A34" s="181"/>
      <c r="B34" s="184"/>
      <c r="C34" s="175"/>
      <c r="D34" s="58" t="s">
        <v>88</v>
      </c>
      <c r="E34" s="38">
        <f t="shared" si="0"/>
        <v>6233.5</v>
      </c>
      <c r="F34" s="38">
        <v>618</v>
      </c>
      <c r="G34" s="38">
        <v>5202</v>
      </c>
      <c r="H34" s="38">
        <v>413.5</v>
      </c>
      <c r="I34" s="121">
        <v>413.5</v>
      </c>
    </row>
    <row r="35" spans="1:9" outlineLevel="1">
      <c r="A35" s="181"/>
      <c r="B35" s="184"/>
      <c r="C35" s="175"/>
      <c r="D35" s="58" t="s">
        <v>89</v>
      </c>
      <c r="E35" s="38">
        <f t="shared" si="0"/>
        <v>2054.5</v>
      </c>
      <c r="F35" s="38">
        <v>1050.5999999999999</v>
      </c>
      <c r="G35" s="38">
        <v>763.9</v>
      </c>
      <c r="H35" s="38">
        <v>240</v>
      </c>
      <c r="I35" s="121">
        <v>240</v>
      </c>
    </row>
    <row r="36" spans="1:9" outlineLevel="1">
      <c r="A36" s="182"/>
      <c r="B36" s="185"/>
      <c r="C36" s="64"/>
      <c r="D36" s="65" t="s">
        <v>94</v>
      </c>
      <c r="E36" s="38">
        <f t="shared" si="0"/>
        <v>360</v>
      </c>
      <c r="F36" s="38"/>
      <c r="G36" s="38"/>
      <c r="H36" s="38">
        <v>360</v>
      </c>
      <c r="I36" s="121">
        <v>360</v>
      </c>
    </row>
    <row r="37" spans="1:9" ht="54" outlineLevel="1">
      <c r="A37" s="55" t="s">
        <v>73</v>
      </c>
      <c r="B37" s="56" t="s">
        <v>168</v>
      </c>
      <c r="C37" s="57" t="s">
        <v>166</v>
      </c>
      <c r="D37" s="58" t="s">
        <v>88</v>
      </c>
      <c r="E37" s="38">
        <f t="shared" si="0"/>
        <v>4076.3999999999996</v>
      </c>
      <c r="F37" s="38">
        <v>0</v>
      </c>
      <c r="G37" s="38">
        <v>2560.1999999999998</v>
      </c>
      <c r="H37" s="38">
        <f>'Отчет_лист 1'!H54</f>
        <v>1800</v>
      </c>
      <c r="I37" s="121">
        <f>'Отчет_лист 1'!I54</f>
        <v>1516.2</v>
      </c>
    </row>
    <row r="38" spans="1:9" outlineLevel="1">
      <c r="A38" s="180" t="s">
        <v>74</v>
      </c>
      <c r="B38" s="176" t="s">
        <v>169</v>
      </c>
      <c r="C38" s="180" t="s">
        <v>166</v>
      </c>
      <c r="D38" s="37" t="s">
        <v>90</v>
      </c>
      <c r="E38" s="38">
        <f t="shared" si="0"/>
        <v>169490.8</v>
      </c>
      <c r="F38" s="38">
        <f>SUM(F39:F40)</f>
        <v>0</v>
      </c>
      <c r="G38" s="38">
        <f>SUM(G39:G40)</f>
        <v>76146.7</v>
      </c>
      <c r="H38" s="38">
        <f>'Отчет_лист 1'!H59</f>
        <v>95753.8</v>
      </c>
      <c r="I38" s="121">
        <f>'Отчет_лист 1'!I59</f>
        <v>93344.1</v>
      </c>
    </row>
    <row r="39" spans="1:9" outlineLevel="1">
      <c r="A39" s="181"/>
      <c r="B39" s="176"/>
      <c r="C39" s="181"/>
      <c r="D39" s="58" t="s">
        <v>88</v>
      </c>
      <c r="E39" s="38">
        <f t="shared" si="0"/>
        <v>129745.5</v>
      </c>
      <c r="F39" s="38">
        <v>0</v>
      </c>
      <c r="G39" s="38">
        <v>58986.6</v>
      </c>
      <c r="H39" s="38">
        <v>73168.600000000006</v>
      </c>
      <c r="I39" s="121">
        <v>70758.899999999994</v>
      </c>
    </row>
    <row r="40" spans="1:9" outlineLevel="1">
      <c r="A40" s="182"/>
      <c r="B40" s="176"/>
      <c r="C40" s="182"/>
      <c r="D40" s="58" t="s">
        <v>89</v>
      </c>
      <c r="E40" s="38">
        <f t="shared" si="0"/>
        <v>39745.300000000003</v>
      </c>
      <c r="F40" s="38">
        <v>0</v>
      </c>
      <c r="G40" s="40">
        <v>17160.099999999999</v>
      </c>
      <c r="H40" s="40">
        <v>22585.200000000001</v>
      </c>
      <c r="I40" s="123">
        <v>22585.200000000001</v>
      </c>
    </row>
    <row r="41" spans="1:9" ht="18.75" customHeight="1" outlineLevel="1">
      <c r="A41" s="180" t="s">
        <v>155</v>
      </c>
      <c r="B41" s="183" t="s">
        <v>190</v>
      </c>
      <c r="C41" s="180" t="s">
        <v>170</v>
      </c>
      <c r="D41" s="37" t="s">
        <v>90</v>
      </c>
      <c r="E41" s="38">
        <f t="shared" si="0"/>
        <v>868349.70000000007</v>
      </c>
      <c r="F41" s="38">
        <f>SUM(F42:F44)</f>
        <v>0</v>
      </c>
      <c r="G41" s="38">
        <f>SUM(G42:G44)</f>
        <v>549771.20000000007</v>
      </c>
      <c r="H41" s="38">
        <f>'Отчет_лист 1'!H63</f>
        <v>318578.5</v>
      </c>
      <c r="I41" s="121">
        <f>'Отчет_лист 1'!I63</f>
        <v>318578.5</v>
      </c>
    </row>
    <row r="42" spans="1:9" outlineLevel="1">
      <c r="A42" s="181"/>
      <c r="B42" s="184"/>
      <c r="C42" s="181"/>
      <c r="D42" s="58" t="s">
        <v>88</v>
      </c>
      <c r="E42" s="38">
        <f t="shared" si="0"/>
        <v>13901.3</v>
      </c>
      <c r="F42" s="38">
        <v>0</v>
      </c>
      <c r="G42" s="38">
        <v>13901.3</v>
      </c>
      <c r="H42" s="38"/>
      <c r="I42" s="121"/>
    </row>
    <row r="43" spans="1:9" outlineLevel="1">
      <c r="A43" s="181"/>
      <c r="B43" s="184"/>
      <c r="C43" s="181"/>
      <c r="D43" s="58" t="s">
        <v>94</v>
      </c>
      <c r="E43" s="38">
        <f t="shared" si="0"/>
        <v>535869.9</v>
      </c>
      <c r="F43" s="38">
        <v>0</v>
      </c>
      <c r="G43" s="40">
        <v>535869.9</v>
      </c>
      <c r="H43" s="40"/>
      <c r="I43" s="123"/>
    </row>
    <row r="44" spans="1:9" outlineLevel="1">
      <c r="A44" s="181"/>
      <c r="B44" s="185"/>
      <c r="C44" s="182"/>
      <c r="D44" s="65" t="s">
        <v>89</v>
      </c>
      <c r="E44" s="38">
        <f t="shared" si="0"/>
        <v>318578.5</v>
      </c>
      <c r="F44" s="38">
        <v>0</v>
      </c>
      <c r="G44" s="40"/>
      <c r="H44" s="40">
        <v>318578.5</v>
      </c>
      <c r="I44" s="123">
        <v>318578.5</v>
      </c>
    </row>
    <row r="45" spans="1:9" ht="27" customHeight="1" outlineLevel="1">
      <c r="A45" s="181"/>
      <c r="B45" s="183" t="s">
        <v>191</v>
      </c>
      <c r="C45" s="180" t="s">
        <v>170</v>
      </c>
      <c r="D45" s="65" t="s">
        <v>90</v>
      </c>
      <c r="E45" s="38">
        <f t="shared" si="0"/>
        <v>688333.1</v>
      </c>
      <c r="F45" s="38"/>
      <c r="G45" s="40"/>
      <c r="H45" s="38">
        <f>'Отчет_лист 1'!H64</f>
        <v>691520.8</v>
      </c>
      <c r="I45" s="121">
        <f>'Отчет_лист 1'!I64</f>
        <v>688333.1</v>
      </c>
    </row>
    <row r="46" spans="1:9" outlineLevel="1">
      <c r="A46" s="181"/>
      <c r="B46" s="184"/>
      <c r="C46" s="181"/>
      <c r="D46" s="65" t="s">
        <v>88</v>
      </c>
      <c r="E46" s="38">
        <f t="shared" si="0"/>
        <v>10325</v>
      </c>
      <c r="F46" s="38"/>
      <c r="G46" s="40"/>
      <c r="H46" s="40">
        <v>13512.7</v>
      </c>
      <c r="I46" s="123">
        <v>10325</v>
      </c>
    </row>
    <row r="47" spans="1:9" outlineLevel="1">
      <c r="A47" s="181"/>
      <c r="B47" s="184"/>
      <c r="C47" s="181"/>
      <c r="D47" s="65" t="s">
        <v>94</v>
      </c>
      <c r="E47" s="38">
        <f t="shared" si="0"/>
        <v>473469.9</v>
      </c>
      <c r="F47" s="38"/>
      <c r="G47" s="40"/>
      <c r="H47" s="40">
        <v>473469.9</v>
      </c>
      <c r="I47" s="123">
        <v>473469.9</v>
      </c>
    </row>
    <row r="48" spans="1:9" outlineLevel="1">
      <c r="A48" s="182"/>
      <c r="B48" s="185"/>
      <c r="C48" s="182"/>
      <c r="D48" s="65" t="s">
        <v>89</v>
      </c>
      <c r="E48" s="38">
        <f t="shared" si="0"/>
        <v>204538.2</v>
      </c>
      <c r="F48" s="38"/>
      <c r="G48" s="40"/>
      <c r="H48" s="40">
        <v>204538.2</v>
      </c>
      <c r="I48" s="123">
        <v>204538.2</v>
      </c>
    </row>
    <row r="49" spans="1:11">
      <c r="A49" s="195" t="s">
        <v>92</v>
      </c>
      <c r="B49" s="196"/>
      <c r="D49" s="37" t="s">
        <v>90</v>
      </c>
      <c r="E49" s="38">
        <f t="shared" si="0"/>
        <v>9945965.5999999996</v>
      </c>
      <c r="F49" s="38">
        <f>SUM(F50:F55)</f>
        <v>2573216.7000000002</v>
      </c>
      <c r="G49" s="38">
        <v>3399820.4</v>
      </c>
      <c r="H49" s="82">
        <f>H23+H27+H31+H32+H33+H37+H38+H41+H45</f>
        <v>4000812.5</v>
      </c>
      <c r="I49" s="82">
        <f>I23+I27+I31+I32+I33+I37+I38+I41+I45</f>
        <v>3972928.5000000005</v>
      </c>
      <c r="J49" s="102"/>
      <c r="K49" s="102"/>
    </row>
    <row r="50" spans="1:11">
      <c r="A50" s="195"/>
      <c r="B50" s="196"/>
      <c r="C50" s="199" t="s">
        <v>45</v>
      </c>
      <c r="D50" s="58" t="s">
        <v>88</v>
      </c>
      <c r="E50" s="38">
        <f t="shared" si="0"/>
        <v>2995840.8999999994</v>
      </c>
      <c r="F50" s="38">
        <f>F24+F28+F34</f>
        <v>809067.2</v>
      </c>
      <c r="G50" s="38">
        <v>982009.3</v>
      </c>
      <c r="H50" s="38">
        <f>H24+H28+H31+H32+H34+H37+H39</f>
        <v>1224838.9000000001</v>
      </c>
      <c r="I50" s="38">
        <f>I24+I28+I31+I32+I34+I37+I39</f>
        <v>1204764.3999999997</v>
      </c>
      <c r="J50" s="102"/>
    </row>
    <row r="51" spans="1:11">
      <c r="A51" s="195"/>
      <c r="B51" s="196"/>
      <c r="C51" s="200"/>
      <c r="D51" s="58" t="s">
        <v>89</v>
      </c>
      <c r="E51" s="38">
        <f t="shared" si="0"/>
        <v>5392384.4000000004</v>
      </c>
      <c r="F51" s="38">
        <f>F25+F29+F35</f>
        <v>1764149.5</v>
      </c>
      <c r="G51" s="38">
        <v>1867664.7</v>
      </c>
      <c r="H51" s="38">
        <f>H25+H29+H35+H40</f>
        <v>1765191.9999999998</v>
      </c>
      <c r="I51" s="38">
        <f>I25+I29+I35+I40</f>
        <v>1760570.2</v>
      </c>
    </row>
    <row r="52" spans="1:11">
      <c r="A52" s="195"/>
      <c r="B52" s="196"/>
      <c r="C52" s="201"/>
      <c r="D52" s="58" t="s">
        <v>94</v>
      </c>
      <c r="E52" s="38">
        <f t="shared" si="0"/>
        <v>1057.5</v>
      </c>
      <c r="F52" s="38">
        <v>0</v>
      </c>
      <c r="G52" s="38">
        <v>375.2</v>
      </c>
      <c r="H52" s="38">
        <f>H30+H36</f>
        <v>682.3</v>
      </c>
      <c r="I52" s="38">
        <f>I30+I36</f>
        <v>682.3</v>
      </c>
    </row>
    <row r="53" spans="1:11">
      <c r="A53" s="195"/>
      <c r="B53" s="196"/>
      <c r="C53" s="180" t="s">
        <v>170</v>
      </c>
      <c r="D53" s="58" t="s">
        <v>88</v>
      </c>
      <c r="E53" s="38">
        <f t="shared" si="0"/>
        <v>24226.3</v>
      </c>
      <c r="F53" s="38">
        <v>0</v>
      </c>
      <c r="G53" s="38">
        <v>13901.3</v>
      </c>
      <c r="H53" s="38">
        <f>H46</f>
        <v>13512.7</v>
      </c>
      <c r="I53" s="38">
        <f>I46</f>
        <v>10325</v>
      </c>
    </row>
    <row r="54" spans="1:11">
      <c r="A54" s="195"/>
      <c r="B54" s="196"/>
      <c r="C54" s="181"/>
      <c r="D54" s="77" t="s">
        <v>89</v>
      </c>
      <c r="E54" s="38">
        <f t="shared" si="0"/>
        <v>523116.7</v>
      </c>
      <c r="F54" s="38"/>
      <c r="G54" s="38"/>
      <c r="H54" s="38">
        <f>H44+H48</f>
        <v>523116.7</v>
      </c>
      <c r="I54" s="38">
        <f>I44+I48</f>
        <v>523116.7</v>
      </c>
    </row>
    <row r="55" spans="1:11">
      <c r="A55" s="197"/>
      <c r="B55" s="198"/>
      <c r="C55" s="182"/>
      <c r="D55" s="58" t="s">
        <v>94</v>
      </c>
      <c r="E55" s="38">
        <f t="shared" si="0"/>
        <v>1009339.8</v>
      </c>
      <c r="F55" s="38">
        <v>0</v>
      </c>
      <c r="G55" s="38">
        <v>535869.9</v>
      </c>
      <c r="H55" s="38">
        <f>H47</f>
        <v>473469.9</v>
      </c>
      <c r="I55" s="38">
        <f>I47</f>
        <v>473469.9</v>
      </c>
    </row>
    <row r="56" spans="1:11" ht="56.25" customHeight="1">
      <c r="A56" s="177" t="s">
        <v>136</v>
      </c>
      <c r="B56" s="178"/>
      <c r="C56" s="178"/>
      <c r="D56" s="179"/>
      <c r="E56" s="38">
        <f t="shared" si="0"/>
        <v>690084.20000000007</v>
      </c>
      <c r="F56" s="82">
        <f>F57+F60+F64</f>
        <v>116057.60000000001</v>
      </c>
      <c r="G56" s="82">
        <v>283567.2</v>
      </c>
      <c r="H56" s="82">
        <f>'Отчет_лист 1'!H65</f>
        <v>293455.89999999997</v>
      </c>
      <c r="I56" s="82">
        <f>'Отчет_лист 1'!I65</f>
        <v>290459.40000000002</v>
      </c>
    </row>
    <row r="57" spans="1:11" outlineLevel="1">
      <c r="A57" s="175" t="s">
        <v>171</v>
      </c>
      <c r="B57" s="176" t="s">
        <v>93</v>
      </c>
      <c r="C57" s="175" t="s">
        <v>176</v>
      </c>
      <c r="D57" s="37" t="s">
        <v>90</v>
      </c>
      <c r="E57" s="38">
        <f t="shared" si="0"/>
        <v>154911.29999999999</v>
      </c>
      <c r="F57" s="38">
        <v>25490.3</v>
      </c>
      <c r="G57" s="121">
        <v>64867.6</v>
      </c>
      <c r="H57" s="38">
        <f>'Отчет_лист 1'!H66</f>
        <v>65294.399999999994</v>
      </c>
      <c r="I57" s="38">
        <f>'Отчет_лист 1'!I66</f>
        <v>64553.399999999994</v>
      </c>
      <c r="J57" s="102"/>
    </row>
    <row r="58" spans="1:11" outlineLevel="1">
      <c r="A58" s="175"/>
      <c r="B58" s="176"/>
      <c r="C58" s="175"/>
      <c r="D58" s="58" t="s">
        <v>88</v>
      </c>
      <c r="E58" s="38">
        <f t="shared" si="0"/>
        <v>89425.9</v>
      </c>
      <c r="F58" s="38">
        <v>25490.3</v>
      </c>
      <c r="G58" s="121">
        <v>30894.400000000001</v>
      </c>
      <c r="H58" s="38">
        <v>33782.199999999997</v>
      </c>
      <c r="I58" s="38">
        <v>33041.199999999997</v>
      </c>
    </row>
    <row r="59" spans="1:11" outlineLevel="1">
      <c r="A59" s="175"/>
      <c r="B59" s="176"/>
      <c r="C59" s="175"/>
      <c r="D59" s="58" t="s">
        <v>89</v>
      </c>
      <c r="E59" s="38">
        <f t="shared" si="0"/>
        <v>65485.399999999994</v>
      </c>
      <c r="F59" s="38">
        <v>0</v>
      </c>
      <c r="G59" s="121">
        <v>33973.199999999997</v>
      </c>
      <c r="H59" s="38">
        <v>31512.2</v>
      </c>
      <c r="I59" s="38">
        <v>31512.2</v>
      </c>
    </row>
    <row r="60" spans="1:11" ht="72" outlineLevel="1">
      <c r="A60" s="55" t="s">
        <v>172</v>
      </c>
      <c r="B60" s="56" t="s">
        <v>173</v>
      </c>
      <c r="C60" s="55" t="s">
        <v>159</v>
      </c>
      <c r="D60" s="58" t="s">
        <v>88</v>
      </c>
      <c r="E60" s="38">
        <f t="shared" si="0"/>
        <v>11488</v>
      </c>
      <c r="F60" s="38">
        <v>5305.3</v>
      </c>
      <c r="G60" s="121">
        <v>4000</v>
      </c>
      <c r="H60" s="38">
        <f>'Отчет_лист 1'!H74</f>
        <v>2182.6999999999998</v>
      </c>
      <c r="I60" s="38">
        <f>'Отчет_лист 1'!I74</f>
        <v>2182.6999999999998</v>
      </c>
    </row>
    <row r="61" spans="1:11" ht="54" outlineLevel="1">
      <c r="A61" s="55" t="s">
        <v>174</v>
      </c>
      <c r="B61" s="56" t="s">
        <v>175</v>
      </c>
      <c r="C61" s="55" t="s">
        <v>159</v>
      </c>
      <c r="D61" s="58" t="s">
        <v>88</v>
      </c>
      <c r="E61" s="38">
        <f t="shared" si="0"/>
        <v>38.700000000000003</v>
      </c>
      <c r="F61" s="38">
        <v>0</v>
      </c>
      <c r="G61" s="121">
        <v>38.700000000000003</v>
      </c>
      <c r="H61" s="38"/>
      <c r="I61" s="38"/>
    </row>
    <row r="62" spans="1:11" ht="54" outlineLevel="1">
      <c r="A62" s="55" t="s">
        <v>177</v>
      </c>
      <c r="B62" s="118" t="s">
        <v>178</v>
      </c>
      <c r="C62" s="55" t="s">
        <v>159</v>
      </c>
      <c r="D62" s="58" t="s">
        <v>88</v>
      </c>
      <c r="E62" s="38">
        <f t="shared" si="0"/>
        <v>896.5</v>
      </c>
      <c r="F62" s="38">
        <v>0</v>
      </c>
      <c r="G62" s="121">
        <v>896.5</v>
      </c>
      <c r="H62" s="38"/>
      <c r="I62" s="38"/>
    </row>
    <row r="63" spans="1:11" ht="72" outlineLevel="1">
      <c r="A63" s="75" t="s">
        <v>179</v>
      </c>
      <c r="B63" s="76" t="s">
        <v>192</v>
      </c>
      <c r="C63" s="75" t="s">
        <v>159</v>
      </c>
      <c r="D63" s="77" t="s">
        <v>88</v>
      </c>
      <c r="E63" s="38">
        <f t="shared" si="0"/>
        <v>100</v>
      </c>
      <c r="F63" s="38"/>
      <c r="G63" s="38"/>
      <c r="H63" s="38">
        <f>'Отчет_лист 1'!H77</f>
        <v>100</v>
      </c>
      <c r="I63" s="121">
        <f>'Отчет_лист 1'!I77</f>
        <v>100</v>
      </c>
    </row>
    <row r="64" spans="1:11" ht="18.75" customHeight="1" outlineLevel="1">
      <c r="A64" s="175" t="s">
        <v>180</v>
      </c>
      <c r="B64" s="176" t="s">
        <v>49</v>
      </c>
      <c r="C64" s="37"/>
      <c r="D64" s="37" t="s">
        <v>90</v>
      </c>
      <c r="E64" s="38">
        <f t="shared" si="0"/>
        <v>522649.70000000007</v>
      </c>
      <c r="F64" s="38">
        <v>85262</v>
      </c>
      <c r="G64" s="38">
        <v>213764.40000000002</v>
      </c>
      <c r="H64" s="38">
        <f>'Отчет_лист 1'!H78</f>
        <v>225878.8</v>
      </c>
      <c r="I64" s="121">
        <f>'Отчет_лист 1'!I78</f>
        <v>223623.30000000002</v>
      </c>
      <c r="J64" s="102"/>
    </row>
    <row r="65" spans="1:11" outlineLevel="1">
      <c r="A65" s="175"/>
      <c r="B65" s="176"/>
      <c r="C65" s="51" t="s">
        <v>183</v>
      </c>
      <c r="D65" s="58" t="s">
        <v>88</v>
      </c>
      <c r="E65" s="38">
        <f t="shared" si="0"/>
        <v>266913.40000000002</v>
      </c>
      <c r="F65" s="38">
        <v>85262</v>
      </c>
      <c r="G65" s="38">
        <v>87264.5</v>
      </c>
      <c r="H65" s="38">
        <v>96497</v>
      </c>
      <c r="I65" s="121">
        <v>94386.9</v>
      </c>
    </row>
    <row r="66" spans="1:11" outlineLevel="1">
      <c r="A66" s="175"/>
      <c r="B66" s="176"/>
      <c r="C66" s="180" t="s">
        <v>184</v>
      </c>
      <c r="D66" s="58" t="s">
        <v>89</v>
      </c>
      <c r="E66" s="38">
        <f t="shared" si="0"/>
        <v>248914.6</v>
      </c>
      <c r="F66" s="38">
        <v>0</v>
      </c>
      <c r="G66" s="38">
        <v>123338.6</v>
      </c>
      <c r="H66" s="38">
        <v>125721.4</v>
      </c>
      <c r="I66" s="121">
        <v>125576</v>
      </c>
    </row>
    <row r="67" spans="1:11" outlineLevel="1">
      <c r="A67" s="175"/>
      <c r="B67" s="176"/>
      <c r="C67" s="182"/>
      <c r="D67" s="39" t="s">
        <v>94</v>
      </c>
      <c r="E67" s="38">
        <f t="shared" si="0"/>
        <v>6821.7000000000007</v>
      </c>
      <c r="F67" s="38">
        <v>0</v>
      </c>
      <c r="G67" s="38">
        <v>3161.3</v>
      </c>
      <c r="H67" s="40">
        <v>3660.4</v>
      </c>
      <c r="I67" s="123">
        <v>3660.4</v>
      </c>
    </row>
    <row r="68" spans="1:11">
      <c r="A68" s="174" t="s">
        <v>95</v>
      </c>
      <c r="B68" s="174"/>
      <c r="C68" s="139" t="s">
        <v>185</v>
      </c>
      <c r="D68" s="37" t="s">
        <v>90</v>
      </c>
      <c r="E68" s="38">
        <f t="shared" si="0"/>
        <v>690084.20000000007</v>
      </c>
      <c r="F68" s="38">
        <f>F57+F60+F64</f>
        <v>116057.60000000001</v>
      </c>
      <c r="G68" s="38">
        <v>283567.2</v>
      </c>
      <c r="H68" s="38">
        <f>H57+H60+H63+H64</f>
        <v>293455.89999999997</v>
      </c>
      <c r="I68" s="38">
        <f>I57+I60+I63+I64</f>
        <v>290459.40000000002</v>
      </c>
      <c r="J68" s="102"/>
    </row>
    <row r="69" spans="1:11">
      <c r="A69" s="174"/>
      <c r="B69" s="174"/>
      <c r="C69" s="141"/>
      <c r="D69" s="58" t="s">
        <v>88</v>
      </c>
      <c r="E69" s="38">
        <f t="shared" si="0"/>
        <v>368862.5</v>
      </c>
      <c r="F69" s="38">
        <f>F58+F60+F65</f>
        <v>116057.60000000001</v>
      </c>
      <c r="G69" s="38">
        <v>123094.1</v>
      </c>
      <c r="H69" s="38">
        <f>H58+H60+H63+H65</f>
        <v>132561.9</v>
      </c>
      <c r="I69" s="38">
        <f>I58+I60+I63+I65</f>
        <v>129710.79999999999</v>
      </c>
    </row>
    <row r="70" spans="1:11">
      <c r="A70" s="174"/>
      <c r="B70" s="174"/>
      <c r="C70" s="141"/>
      <c r="D70" s="58" t="s">
        <v>89</v>
      </c>
      <c r="E70" s="38">
        <f t="shared" si="0"/>
        <v>314400</v>
      </c>
      <c r="F70" s="38">
        <f>F59+F66</f>
        <v>0</v>
      </c>
      <c r="G70" s="38">
        <v>157311.79999999999</v>
      </c>
      <c r="H70" s="38">
        <f>H59+H66</f>
        <v>157233.60000000001</v>
      </c>
      <c r="I70" s="38">
        <f>I59+I66</f>
        <v>157088.20000000001</v>
      </c>
    </row>
    <row r="71" spans="1:11">
      <c r="A71" s="174"/>
      <c r="B71" s="174"/>
      <c r="C71" s="140"/>
      <c r="D71" s="39" t="s">
        <v>94</v>
      </c>
      <c r="E71" s="38">
        <f t="shared" si="0"/>
        <v>6821.7000000000007</v>
      </c>
      <c r="F71" s="38">
        <f>F67</f>
        <v>0</v>
      </c>
      <c r="G71" s="38">
        <v>3161.3</v>
      </c>
      <c r="H71" s="38">
        <f>H67</f>
        <v>3660.4</v>
      </c>
      <c r="I71" s="38">
        <f>I67</f>
        <v>3660.4</v>
      </c>
    </row>
    <row r="72" spans="1:11" ht="37.5" customHeight="1">
      <c r="A72" s="177" t="s">
        <v>182</v>
      </c>
      <c r="B72" s="178"/>
      <c r="C72" s="178"/>
      <c r="D72" s="179"/>
      <c r="E72" s="38">
        <f t="shared" si="0"/>
        <v>188534.7</v>
      </c>
      <c r="F72" s="38">
        <f t="shared" ref="F72:F75" si="7">F68</f>
        <v>116057.60000000001</v>
      </c>
      <c r="G72" s="82">
        <v>35779.5</v>
      </c>
      <c r="H72" s="82">
        <f>'Отчет_лист 1'!H84</f>
        <v>37300</v>
      </c>
      <c r="I72" s="82">
        <f>'Отчет_лист 1'!I84</f>
        <v>36697.599999999999</v>
      </c>
    </row>
    <row r="73" spans="1:11">
      <c r="A73" s="180" t="s">
        <v>196</v>
      </c>
      <c r="B73" s="183" t="s">
        <v>181</v>
      </c>
      <c r="C73" s="180" t="s">
        <v>184</v>
      </c>
      <c r="D73" s="37" t="s">
        <v>90</v>
      </c>
      <c r="E73" s="38">
        <f t="shared" si="0"/>
        <v>188534.7</v>
      </c>
      <c r="F73" s="38">
        <f t="shared" si="7"/>
        <v>116057.60000000001</v>
      </c>
      <c r="G73" s="38">
        <v>35779.5</v>
      </c>
      <c r="H73" s="38">
        <f>'Отчет_лист 1'!H85</f>
        <v>37300</v>
      </c>
      <c r="I73" s="38">
        <f>'Отчет_лист 1'!I85</f>
        <v>36697.599999999999</v>
      </c>
    </row>
    <row r="74" spans="1:11">
      <c r="A74" s="181"/>
      <c r="B74" s="184"/>
      <c r="C74" s="181"/>
      <c r="D74" s="61" t="s">
        <v>88</v>
      </c>
      <c r="E74" s="38">
        <f t="shared" si="0"/>
        <v>58582.1</v>
      </c>
      <c r="F74" s="38">
        <f>F70</f>
        <v>0</v>
      </c>
      <c r="G74" s="38">
        <v>28832</v>
      </c>
      <c r="H74" s="38">
        <v>30352.5</v>
      </c>
      <c r="I74" s="38">
        <v>29750.1</v>
      </c>
    </row>
    <row r="75" spans="1:11">
      <c r="A75" s="182"/>
      <c r="B75" s="185"/>
      <c r="C75" s="182"/>
      <c r="D75" s="61" t="s">
        <v>89</v>
      </c>
      <c r="E75" s="38">
        <f t="shared" si="0"/>
        <v>13895</v>
      </c>
      <c r="F75" s="38">
        <f t="shared" si="7"/>
        <v>0</v>
      </c>
      <c r="G75" s="38">
        <v>6947.5</v>
      </c>
      <c r="H75" s="38">
        <v>6947.5</v>
      </c>
      <c r="I75" s="38">
        <v>6947.5</v>
      </c>
    </row>
    <row r="76" spans="1:11" s="53" customFormat="1" ht="17.399999999999999">
      <c r="A76" s="189" t="s">
        <v>96</v>
      </c>
      <c r="B76" s="190"/>
      <c r="C76" s="175"/>
      <c r="D76" s="36" t="s">
        <v>90</v>
      </c>
      <c r="E76" s="82">
        <f t="shared" si="0"/>
        <v>16864708.800000001</v>
      </c>
      <c r="F76" s="82">
        <f>F5+F22+F56</f>
        <v>4485045.8</v>
      </c>
      <c r="G76" s="82">
        <f>G5+G22+G56+G73</f>
        <v>5804890.5000000009</v>
      </c>
      <c r="H76" s="82">
        <f>H5+H22+H56+H73</f>
        <v>6614434.1000000006</v>
      </c>
      <c r="I76" s="82">
        <f>I5+I22+I56+I73</f>
        <v>6574772.5</v>
      </c>
      <c r="J76" s="103">
        <f>SUM(H80+H84)</f>
        <v>6614434.0999999996</v>
      </c>
      <c r="K76" s="103"/>
    </row>
    <row r="77" spans="1:11">
      <c r="A77" s="191"/>
      <c r="B77" s="192"/>
      <c r="C77" s="175"/>
      <c r="D77" s="61" t="s">
        <v>88</v>
      </c>
      <c r="E77" s="82">
        <f t="shared" si="0"/>
        <v>6847028.0999999996</v>
      </c>
      <c r="F77" s="38">
        <f>F81+F85</f>
        <v>1980016</v>
      </c>
      <c r="G77" s="38">
        <f t="shared" ref="G77:I77" si="8">G81+G85</f>
        <v>2410653.6999999997</v>
      </c>
      <c r="H77" s="38">
        <f t="shared" si="8"/>
        <v>2489927.2000000002</v>
      </c>
      <c r="I77" s="38">
        <f t="shared" si="8"/>
        <v>2456358.4</v>
      </c>
    </row>
    <row r="78" spans="1:11">
      <c r="A78" s="191"/>
      <c r="B78" s="192"/>
      <c r="C78" s="175"/>
      <c r="D78" s="61" t="s">
        <v>89</v>
      </c>
      <c r="E78" s="82">
        <f t="shared" ref="E78:E87" si="9">F78+G78+I78</f>
        <v>9000461.6999999993</v>
      </c>
      <c r="F78" s="38">
        <f>F82+F86</f>
        <v>2505029.7999999998</v>
      </c>
      <c r="G78" s="38">
        <f t="shared" ref="G78:I78" si="10">G82+G86</f>
        <v>2854830.4</v>
      </c>
      <c r="H78" s="38">
        <f t="shared" si="10"/>
        <v>3646694.3000000003</v>
      </c>
      <c r="I78" s="38">
        <f t="shared" si="10"/>
        <v>3640601.5000000005</v>
      </c>
    </row>
    <row r="79" spans="1:11">
      <c r="A79" s="191"/>
      <c r="B79" s="192"/>
      <c r="C79" s="175"/>
      <c r="D79" s="39" t="s">
        <v>94</v>
      </c>
      <c r="E79" s="82">
        <f t="shared" si="9"/>
        <v>1017219</v>
      </c>
      <c r="F79" s="40">
        <f>F83+F87</f>
        <v>0</v>
      </c>
      <c r="G79" s="40">
        <f t="shared" ref="G79:I79" si="11">G83+G87</f>
        <v>539406.4</v>
      </c>
      <c r="H79" s="40">
        <f t="shared" si="11"/>
        <v>477812.60000000003</v>
      </c>
      <c r="I79" s="40">
        <f t="shared" si="11"/>
        <v>477812.60000000003</v>
      </c>
    </row>
    <row r="80" spans="1:11">
      <c r="A80" s="191"/>
      <c r="B80" s="192"/>
      <c r="C80" s="175" t="s">
        <v>45</v>
      </c>
      <c r="D80" s="37" t="s">
        <v>90</v>
      </c>
      <c r="E80" s="82">
        <f t="shared" si="9"/>
        <v>15308026</v>
      </c>
      <c r="F80" s="40">
        <f>SUM(F81:F83)</f>
        <v>4485045.8</v>
      </c>
      <c r="G80" s="40">
        <f t="shared" ref="G80:I80" si="12">SUM(G81:G83)</f>
        <v>5255119.3</v>
      </c>
      <c r="H80" s="40">
        <f t="shared" si="12"/>
        <v>5604334.7999999998</v>
      </c>
      <c r="I80" s="40">
        <f t="shared" si="12"/>
        <v>5567860.9000000004</v>
      </c>
      <c r="J80" s="102"/>
    </row>
    <row r="81" spans="1:10">
      <c r="A81" s="191"/>
      <c r="B81" s="192"/>
      <c r="C81" s="175"/>
      <c r="D81" s="61" t="s">
        <v>88</v>
      </c>
      <c r="E81" s="82">
        <f t="shared" si="9"/>
        <v>6822801.8000000007</v>
      </c>
      <c r="F81" s="38">
        <f>F20+F50+F69+F74</f>
        <v>1980016</v>
      </c>
      <c r="G81" s="38">
        <f t="shared" ref="G81:I81" si="13">G20+G50+G69+G74</f>
        <v>2396752.4</v>
      </c>
      <c r="H81" s="38">
        <f t="shared" si="13"/>
        <v>2476414.5</v>
      </c>
      <c r="I81" s="38">
        <f t="shared" si="13"/>
        <v>2446033.4</v>
      </c>
    </row>
    <row r="82" spans="1:10">
      <c r="A82" s="191"/>
      <c r="B82" s="192"/>
      <c r="C82" s="175"/>
      <c r="D82" s="61" t="s">
        <v>89</v>
      </c>
      <c r="E82" s="82">
        <f t="shared" si="9"/>
        <v>8477345</v>
      </c>
      <c r="F82" s="38">
        <f>F21+F51+F70</f>
        <v>2505029.7999999998</v>
      </c>
      <c r="G82" s="38">
        <f>G21+G51+G70+G75</f>
        <v>2854830.4</v>
      </c>
      <c r="H82" s="38">
        <f>H21+H51+H70+H75</f>
        <v>3123577.6</v>
      </c>
      <c r="I82" s="38">
        <f>I21+I51+I70+I75</f>
        <v>3117484.8000000003</v>
      </c>
    </row>
    <row r="83" spans="1:10">
      <c r="A83" s="191"/>
      <c r="B83" s="192"/>
      <c r="C83" s="175"/>
      <c r="D83" s="39" t="s">
        <v>94</v>
      </c>
      <c r="E83" s="82">
        <f t="shared" si="9"/>
        <v>7879.2</v>
      </c>
      <c r="F83" s="40">
        <f>F52+F70+F75</f>
        <v>0</v>
      </c>
      <c r="G83" s="40">
        <f>G52+G71</f>
        <v>3536.5</v>
      </c>
      <c r="H83" s="40">
        <f>H52+H71</f>
        <v>4342.7</v>
      </c>
      <c r="I83" s="40">
        <f>I52+I71</f>
        <v>4342.7</v>
      </c>
    </row>
    <row r="84" spans="1:10">
      <c r="A84" s="191"/>
      <c r="B84" s="192"/>
      <c r="C84" s="175" t="s">
        <v>170</v>
      </c>
      <c r="D84" s="52" t="s">
        <v>90</v>
      </c>
      <c r="E84" s="82">
        <f t="shared" si="9"/>
        <v>1556682.8</v>
      </c>
      <c r="F84" s="40">
        <f>SUM(F85:F87)</f>
        <v>0</v>
      </c>
      <c r="G84" s="40">
        <f t="shared" ref="G84:I84" si="14">SUM(G85:G87)</f>
        <v>549771.20000000007</v>
      </c>
      <c r="H84" s="40">
        <f t="shared" si="14"/>
        <v>1010099.3</v>
      </c>
      <c r="I84" s="40">
        <f t="shared" si="14"/>
        <v>1006911.6</v>
      </c>
      <c r="J84" s="102"/>
    </row>
    <row r="85" spans="1:10">
      <c r="A85" s="191"/>
      <c r="B85" s="192"/>
      <c r="C85" s="175"/>
      <c r="D85" s="61" t="s">
        <v>88</v>
      </c>
      <c r="E85" s="82">
        <f t="shared" si="9"/>
        <v>24226.3</v>
      </c>
      <c r="F85" s="40">
        <f>F53</f>
        <v>0</v>
      </c>
      <c r="G85" s="40">
        <f t="shared" ref="G85:I85" si="15">G53</f>
        <v>13901.3</v>
      </c>
      <c r="H85" s="40">
        <f t="shared" si="15"/>
        <v>13512.7</v>
      </c>
      <c r="I85" s="40">
        <f t="shared" si="15"/>
        <v>10325</v>
      </c>
    </row>
    <row r="86" spans="1:10">
      <c r="A86" s="191"/>
      <c r="B86" s="192"/>
      <c r="C86" s="175"/>
      <c r="D86" s="77" t="s">
        <v>89</v>
      </c>
      <c r="E86" s="82">
        <f t="shared" si="9"/>
        <v>523116.7</v>
      </c>
      <c r="F86" s="40">
        <f>F54</f>
        <v>0</v>
      </c>
      <c r="G86" s="40">
        <f t="shared" ref="G86:I86" si="16">G54</f>
        <v>0</v>
      </c>
      <c r="H86" s="40">
        <f t="shared" si="16"/>
        <v>523116.7</v>
      </c>
      <c r="I86" s="40">
        <f t="shared" si="16"/>
        <v>523116.7</v>
      </c>
    </row>
    <row r="87" spans="1:10">
      <c r="A87" s="193"/>
      <c r="B87" s="194"/>
      <c r="C87" s="175"/>
      <c r="D87" s="61" t="s">
        <v>94</v>
      </c>
      <c r="E87" s="82">
        <f t="shared" si="9"/>
        <v>1009339.8</v>
      </c>
      <c r="F87" s="40">
        <f>F55</f>
        <v>0</v>
      </c>
      <c r="G87" s="40">
        <f t="shared" ref="G87:I87" si="17">G55</f>
        <v>535869.9</v>
      </c>
      <c r="H87" s="40">
        <f t="shared" si="17"/>
        <v>473469.9</v>
      </c>
      <c r="I87" s="40">
        <f t="shared" si="17"/>
        <v>473469.9</v>
      </c>
    </row>
  </sheetData>
  <mergeCells count="56">
    <mergeCell ref="C80:C83"/>
    <mergeCell ref="C84:C87"/>
    <mergeCell ref="A76:B87"/>
    <mergeCell ref="A49:B55"/>
    <mergeCell ref="C53:C55"/>
    <mergeCell ref="C50:C52"/>
    <mergeCell ref="A68:B71"/>
    <mergeCell ref="C68:C71"/>
    <mergeCell ref="C76:C79"/>
    <mergeCell ref="A64:A67"/>
    <mergeCell ref="B64:B67"/>
    <mergeCell ref="A72:D72"/>
    <mergeCell ref="C66:C67"/>
    <mergeCell ref="A73:A75"/>
    <mergeCell ref="B73:B75"/>
    <mergeCell ref="C73:C75"/>
    <mergeCell ref="A22:D22"/>
    <mergeCell ref="A23:A26"/>
    <mergeCell ref="B23:B26"/>
    <mergeCell ref="C23:C26"/>
    <mergeCell ref="A33:A36"/>
    <mergeCell ref="C27:C30"/>
    <mergeCell ref="B27:B30"/>
    <mergeCell ref="A27:A30"/>
    <mergeCell ref="A5:D5"/>
    <mergeCell ref="A13:A15"/>
    <mergeCell ref="B13:B15"/>
    <mergeCell ref="C13:C15"/>
    <mergeCell ref="A16:A18"/>
    <mergeCell ref="B16:B18"/>
    <mergeCell ref="C16:C18"/>
    <mergeCell ref="B6:B8"/>
    <mergeCell ref="C6:C8"/>
    <mergeCell ref="A6:A8"/>
    <mergeCell ref="A19:B21"/>
    <mergeCell ref="C19:C21"/>
    <mergeCell ref="A57:A59"/>
    <mergeCell ref="B57:B59"/>
    <mergeCell ref="C57:C59"/>
    <mergeCell ref="A56:D56"/>
    <mergeCell ref="C33:C35"/>
    <mergeCell ref="A38:A40"/>
    <mergeCell ref="B38:B40"/>
    <mergeCell ref="C38:C40"/>
    <mergeCell ref="C41:C44"/>
    <mergeCell ref="B41:B44"/>
    <mergeCell ref="C45:C48"/>
    <mergeCell ref="B45:B48"/>
    <mergeCell ref="A41:A48"/>
    <mergeCell ref="B33:B36"/>
    <mergeCell ref="A1:I1"/>
    <mergeCell ref="A3:A4"/>
    <mergeCell ref="B3:B4"/>
    <mergeCell ref="E3:I3"/>
    <mergeCell ref="C3:C4"/>
    <mergeCell ref="D3:D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2" orientation="landscape" r:id="rId1"/>
  <rowBreaks count="2" manualBreakCount="2">
    <brk id="30" max="8" man="1"/>
    <brk id="7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K26" sqref="K26"/>
    </sheetView>
  </sheetViews>
  <sheetFormatPr defaultRowHeight="14.4"/>
  <cols>
    <col min="1" max="1" width="19.6640625" customWidth="1"/>
    <col min="2" max="2" width="18.44140625" customWidth="1"/>
    <col min="3" max="3" width="18.109375" customWidth="1"/>
    <col min="4" max="4" width="19.5546875" customWidth="1"/>
    <col min="5" max="5" width="17.33203125" customWidth="1"/>
  </cols>
  <sheetData>
    <row r="1" spans="1:19">
      <c r="A1" s="204" t="s">
        <v>229</v>
      </c>
      <c r="B1" s="204"/>
      <c r="C1" s="204"/>
      <c r="D1" s="204"/>
      <c r="E1" s="204"/>
    </row>
    <row r="2" spans="1:19">
      <c r="A2" s="204" t="s">
        <v>230</v>
      </c>
      <c r="B2" s="204"/>
      <c r="C2" s="204"/>
      <c r="D2" s="204"/>
      <c r="E2" s="204"/>
    </row>
    <row r="3" spans="1:19">
      <c r="A3" s="204" t="s">
        <v>231</v>
      </c>
      <c r="B3" s="204"/>
      <c r="C3" s="204"/>
      <c r="D3" s="204"/>
      <c r="E3" s="204"/>
    </row>
    <row r="5" spans="1:19">
      <c r="B5" s="98" t="s">
        <v>232</v>
      </c>
      <c r="C5" s="98" t="s">
        <v>213</v>
      </c>
      <c r="D5" s="98" t="s">
        <v>233</v>
      </c>
      <c r="E5" s="98" t="s">
        <v>214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19">
      <c r="A6" s="96" t="s">
        <v>234</v>
      </c>
      <c r="B6" s="97">
        <v>2282865742.04</v>
      </c>
      <c r="C6" s="97">
        <v>2279599489.4099998</v>
      </c>
      <c r="D6" s="97">
        <v>2274686973.71</v>
      </c>
      <c r="E6" s="97">
        <f>SUM(B6-D6)</f>
        <v>8178768.3299999237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>
      <c r="A7" s="96" t="s">
        <v>220</v>
      </c>
      <c r="B7" s="97">
        <v>2990713198.96</v>
      </c>
      <c r="C7" s="97">
        <v>2989723111.0999999</v>
      </c>
      <c r="D7" s="97">
        <v>2966016965.1300001</v>
      </c>
      <c r="E7" s="97">
        <f t="shared" ref="E7:E11" si="0">SUM(B7-D7)</f>
        <v>24696233.829999924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</row>
    <row r="8" spans="1:19">
      <c r="A8" s="96" t="s">
        <v>238</v>
      </c>
      <c r="B8" s="97">
        <v>1010099250</v>
      </c>
      <c r="C8" s="97">
        <v>1010099250</v>
      </c>
      <c r="D8" s="97">
        <v>1006911585.25</v>
      </c>
      <c r="E8" s="97">
        <f t="shared" si="0"/>
        <v>3187664.75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>
      <c r="A9" s="104" t="s">
        <v>237</v>
      </c>
      <c r="B9" s="97">
        <f>SUM(B7:B8)</f>
        <v>4000812448.96</v>
      </c>
      <c r="C9" s="97">
        <f t="shared" ref="C9:E9" si="1">SUM(C7:C8)</f>
        <v>3999822361.0999999</v>
      </c>
      <c r="D9" s="97">
        <f t="shared" si="1"/>
        <v>3972928550.3800001</v>
      </c>
      <c r="E9" s="97">
        <f t="shared" si="1"/>
        <v>27883898.579999924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19">
      <c r="A10" s="96" t="s">
        <v>235</v>
      </c>
      <c r="B10" s="97">
        <v>293455851</v>
      </c>
      <c r="C10" s="97">
        <v>292213396.89999998</v>
      </c>
      <c r="D10" s="97">
        <v>290459428.97000003</v>
      </c>
      <c r="E10" s="97">
        <f t="shared" si="0"/>
        <v>2996422.0299999714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>
      <c r="A11" s="96" t="s">
        <v>236</v>
      </c>
      <c r="B11" s="97">
        <v>37300000</v>
      </c>
      <c r="C11" s="97">
        <v>37019661.100000001</v>
      </c>
      <c r="D11" s="97">
        <v>36697554.020000003</v>
      </c>
      <c r="E11" s="97">
        <f t="shared" si="0"/>
        <v>602445.97999999672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</row>
    <row r="12" spans="1:19" s="116" customFormat="1" ht="33.75" customHeight="1">
      <c r="A12" s="113" t="s">
        <v>215</v>
      </c>
      <c r="B12" s="114">
        <f>SUM(B6+B9+B10+B11)</f>
        <v>6614434042</v>
      </c>
      <c r="C12" s="114">
        <f t="shared" ref="C12:E12" si="2">SUM(C6+C9+C10+C11)</f>
        <v>6608654908.5100002</v>
      </c>
      <c r="D12" s="114">
        <f t="shared" si="2"/>
        <v>6574772507.0800009</v>
      </c>
      <c r="E12" s="114">
        <f t="shared" si="2"/>
        <v>39661534.919999816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</row>
    <row r="13" spans="1:19" ht="31.5" customHeight="1">
      <c r="A13" s="119" t="s">
        <v>239</v>
      </c>
      <c r="B13" s="97">
        <f>SUM(B6+B7+B10+B11)</f>
        <v>5604334792</v>
      </c>
      <c r="C13" s="97">
        <f t="shared" ref="C13:E13" si="3">SUM(C6+C7+C10+C11)</f>
        <v>5598555658.5100002</v>
      </c>
      <c r="D13" s="97">
        <f t="shared" si="3"/>
        <v>5567860921.8300009</v>
      </c>
      <c r="E13" s="97">
        <f t="shared" si="3"/>
        <v>36473870.169999816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</row>
    <row r="14" spans="1:19" ht="31.5" customHeight="1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</row>
    <row r="15" spans="1:19" ht="31.5" customHeight="1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</row>
    <row r="16" spans="1:19" ht="24" customHeight="1">
      <c r="A16" s="203"/>
      <c r="B16" s="202" t="s">
        <v>225</v>
      </c>
      <c r="C16" s="202"/>
      <c r="D16" s="202"/>
      <c r="E16" s="202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7" spans="1:19">
      <c r="A17" s="203"/>
      <c r="B17" s="100" t="s">
        <v>218</v>
      </c>
      <c r="C17" s="100" t="s">
        <v>216</v>
      </c>
      <c r="D17" s="100" t="s">
        <v>217</v>
      </c>
      <c r="E17" s="100" t="s">
        <v>219</v>
      </c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</row>
    <row r="18" spans="1:19">
      <c r="A18" s="96" t="s">
        <v>234</v>
      </c>
      <c r="B18" s="101">
        <v>1081808113.71</v>
      </c>
      <c r="C18" s="101">
        <v>1192878860</v>
      </c>
      <c r="D18" s="101"/>
      <c r="E18" s="101">
        <f>SUM(B18:D18)</f>
        <v>2274686973.71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</row>
    <row r="19" spans="1:19">
      <c r="A19" s="104" t="s">
        <v>220</v>
      </c>
      <c r="B19" s="101">
        <f>606039873.26+591632996.21+421159.28+228000+112500+6329900</f>
        <v>1204764428.75</v>
      </c>
      <c r="C19" s="101">
        <f>55147717.71+1614024600+12074818.67+3402500+1700000+4675800+4505000+1400000+1750000+740400+15757500+40000000+600000+2100000+2150000+150000+151900+240000</f>
        <v>1760570236.3800001</v>
      </c>
      <c r="D19" s="101">
        <f>322300+360000</f>
        <v>682300</v>
      </c>
      <c r="E19" s="101">
        <f>SUM(B19:D19)</f>
        <v>2966016965.1300001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</row>
    <row r="20" spans="1:19">
      <c r="A20" s="104" t="s">
        <v>221</v>
      </c>
      <c r="B20" s="101">
        <v>10325000</v>
      </c>
      <c r="C20" s="101">
        <v>523116685.25</v>
      </c>
      <c r="D20" s="101">
        <v>473469900</v>
      </c>
      <c r="E20" s="101">
        <f>SUM(B20:D20)</f>
        <v>1006911585.25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</row>
    <row r="21" spans="1:19">
      <c r="A21" s="104" t="s">
        <v>237</v>
      </c>
      <c r="B21" s="101">
        <f>SUM(B19:B20)</f>
        <v>1215089428.75</v>
      </c>
      <c r="C21" s="101">
        <f t="shared" ref="C21:E21" si="4">SUM(C19:C20)</f>
        <v>2283686921.6300001</v>
      </c>
      <c r="D21" s="101">
        <f t="shared" si="4"/>
        <v>474152200</v>
      </c>
      <c r="E21" s="101">
        <f t="shared" si="4"/>
        <v>3972928550.3800001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</row>
    <row r="22" spans="1:19">
      <c r="A22" s="96" t="s">
        <v>235</v>
      </c>
      <c r="B22" s="101">
        <v>129710781.02</v>
      </c>
      <c r="C22" s="101">
        <v>157088269.05000001</v>
      </c>
      <c r="D22" s="101">
        <v>3660378.9</v>
      </c>
      <c r="E22" s="101">
        <f t="shared" ref="E22:E23" si="5">SUM(B22:D22)</f>
        <v>290459428.96999997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</row>
    <row r="23" spans="1:19">
      <c r="A23" s="96" t="s">
        <v>236</v>
      </c>
      <c r="B23" s="101">
        <v>29750054.02</v>
      </c>
      <c r="C23" s="101">
        <v>6947500</v>
      </c>
      <c r="D23" s="101"/>
      <c r="E23" s="101">
        <f t="shared" si="5"/>
        <v>36697554.019999996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</row>
    <row r="24" spans="1:19" s="108" customFormat="1" ht="30" customHeight="1">
      <c r="A24" s="105" t="s">
        <v>222</v>
      </c>
      <c r="B24" s="106">
        <f>SUM(B18+B19+B22+B23)</f>
        <v>2446033377.5</v>
      </c>
      <c r="C24" s="106">
        <f t="shared" ref="C24:E24" si="6">SUM(C18+C19+C22+C23)</f>
        <v>3117484865.4300003</v>
      </c>
      <c r="D24" s="106">
        <f t="shared" si="6"/>
        <v>4342678.9000000004</v>
      </c>
      <c r="E24" s="106">
        <f t="shared" si="6"/>
        <v>5567860921.8300009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</row>
    <row r="25" spans="1:19" s="112" customFormat="1">
      <c r="A25" s="109" t="s">
        <v>223</v>
      </c>
      <c r="B25" s="110">
        <f>B20</f>
        <v>10325000</v>
      </c>
      <c r="C25" s="110">
        <f t="shared" ref="C25:E25" si="7">C20</f>
        <v>523116685.25</v>
      </c>
      <c r="D25" s="110">
        <f t="shared" si="7"/>
        <v>473469900</v>
      </c>
      <c r="E25" s="110">
        <f t="shared" si="7"/>
        <v>1006911585.25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</row>
    <row r="27" spans="1:19" s="116" customFormat="1" ht="25.5" customHeight="1">
      <c r="A27" s="113" t="s">
        <v>224</v>
      </c>
      <c r="B27" s="114">
        <f>SUM(B24:B25)</f>
        <v>2456358377.5</v>
      </c>
      <c r="C27" s="114">
        <f t="shared" ref="C27:E27" si="8">SUM(C24:C25)</f>
        <v>3640601550.6800003</v>
      </c>
      <c r="D27" s="114">
        <f t="shared" si="8"/>
        <v>477812578.89999998</v>
      </c>
      <c r="E27" s="114">
        <f t="shared" si="8"/>
        <v>6574772507.0800009</v>
      </c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1:19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</row>
    <row r="29" spans="1:19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</row>
    <row r="30" spans="1:19">
      <c r="A30" t="s">
        <v>227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</row>
    <row r="31" spans="1:19">
      <c r="A31" t="s">
        <v>226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</row>
    <row r="32" spans="1:19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</row>
    <row r="33" spans="1:19">
      <c r="A33" t="s">
        <v>228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</row>
    <row r="34" spans="1:19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</row>
    <row r="35" spans="1:19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</row>
    <row r="36" spans="1:19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</row>
    <row r="37" spans="1:19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</row>
    <row r="38" spans="1:19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1:19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1:19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1:19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1:19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1:19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1:19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1:19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1:19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</sheetData>
  <mergeCells count="5">
    <mergeCell ref="B16:E16"/>
    <mergeCell ref="A16:A17"/>
    <mergeCell ref="A1:E1"/>
    <mergeCell ref="A2:E2"/>
    <mergeCell ref="A3:E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Отчет_лист 1</vt:lpstr>
      <vt:lpstr>Отчет_лист 2</vt:lpstr>
      <vt:lpstr>справочно</vt:lpstr>
      <vt:lpstr>'Отчет_лист 1'!Заголовки_для_печати</vt:lpstr>
      <vt:lpstr>'Отчет_лист 2'!Заголовки_для_печати</vt:lpstr>
      <vt:lpstr>'Отчет_лист 1'!Область_печати</vt:lpstr>
      <vt:lpstr>'Отчет_лист 2'!Область_печати</vt:lpstr>
    </vt:vector>
  </TitlesOfParts>
  <Company>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</dc:creator>
  <cp:lastModifiedBy>nazarovayuev</cp:lastModifiedBy>
  <cp:lastPrinted>2018-02-26T07:00:32Z</cp:lastPrinted>
  <dcterms:created xsi:type="dcterms:W3CDTF">2013-01-20T07:12:03Z</dcterms:created>
  <dcterms:modified xsi:type="dcterms:W3CDTF">2018-03-06T06:28:33Z</dcterms:modified>
</cp:coreProperties>
</file>